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4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filterPrivacy="1" codeName="ThisWorkbook"/>
  <bookViews>
    <workbookView xWindow="0" yWindow="0" windowWidth="15360" windowHeight="7245"/>
  </bookViews>
  <sheets>
    <sheet name="Summary" sheetId="4" r:id="rId1"/>
    <sheet name="ReachFormula" sheetId="2" r:id="rId2"/>
    <sheet name="ReachTable" sheetId="3" r:id="rId3"/>
  </sheets>
  <definedNames>
    <definedName name="_A" localSheetId="2">ReachTable!$C$21</definedName>
    <definedName name="_xlnm._FilterDatabase" localSheetId="1" hidden="1">ReachFormula!#REF!</definedName>
    <definedName name="_xlnm._FilterDatabase" localSheetId="2" hidden="1">ReachTable!#REF!</definedName>
    <definedName name="_kCu" localSheetId="1">ReachFormula!$D$80</definedName>
    <definedName name="_kCu" localSheetId="2">ReachTable!$D$11</definedName>
    <definedName name="_n" localSheetId="2">ReachTable!$C$15</definedName>
    <definedName name="_P" localSheetId="2">ReachTable!$C$17</definedName>
    <definedName name="_pairs" localSheetId="2">ReachTable!$C$16</definedName>
    <definedName name="_rC" localSheetId="1">ReachFormula!$D$78</definedName>
    <definedName name="_rC" localSheetId="2">ReachTable!$D$9</definedName>
    <definedName name="_T" localSheetId="1">ReachFormula!$D$79</definedName>
    <definedName name="_T" localSheetId="2">ReachTable!$D$10</definedName>
    <definedName name="_vL" localSheetId="2">ReachTable!$C$18</definedName>
    <definedName name="_vl0" localSheetId="1">ReachFormula!A$86</definedName>
    <definedName name="_vl0" localSheetId="2">ReachTable!#REF!</definedName>
    <definedName name="_vl1" localSheetId="1">ReachFormula!$J$86</definedName>
    <definedName name="_vl1" localSheetId="2">ReachTable!#REF!</definedName>
    <definedName name="_vS" localSheetId="1">ReachFormula!$D$81</definedName>
    <definedName name="_vS" localSheetId="2">ReachTable!$D$12</definedName>
    <definedName name="_ρCu" localSheetId="1">ReachFormula!$D$77</definedName>
    <definedName name="_ρCu" localSheetId="2">ReachTable!$D$8</definedName>
  </definedNames>
  <calcPr calcId="171027"/>
</workbook>
</file>

<file path=xl/calcChain.xml><?xml version="1.0" encoding="utf-8"?>
<calcChain xmlns="http://schemas.openxmlformats.org/spreadsheetml/2006/main">
  <c r="D10" i="3" l="1"/>
  <c r="D79" i="2"/>
  <c r="C110" i="2" l="1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D111" i="2"/>
  <c r="E111" i="2"/>
  <c r="D112" i="2"/>
  <c r="E112" i="2"/>
  <c r="D113" i="2"/>
  <c r="E113" i="2"/>
  <c r="D114" i="2"/>
  <c r="E114" i="2"/>
  <c r="D115" i="2"/>
  <c r="E115" i="2"/>
  <c r="D116" i="2"/>
  <c r="E116" i="2"/>
  <c r="D117" i="2"/>
  <c r="E117" i="2"/>
  <c r="D118" i="2"/>
  <c r="E118" i="2"/>
  <c r="D119" i="2"/>
  <c r="E119" i="2"/>
  <c r="D120" i="2"/>
  <c r="E120" i="2"/>
  <c r="D121" i="2"/>
  <c r="E121" i="2"/>
  <c r="D122" i="2"/>
  <c r="E122" i="2"/>
  <c r="D123" i="2"/>
  <c r="E123" i="2"/>
  <c r="C124" i="2"/>
  <c r="D124" i="2"/>
  <c r="E124" i="2"/>
  <c r="C125" i="2"/>
  <c r="D125" i="2"/>
  <c r="E125" i="2"/>
  <c r="E99" i="2"/>
  <c r="F99" i="2"/>
  <c r="G99" i="2"/>
  <c r="H99" i="2"/>
  <c r="K99" i="2" s="1"/>
  <c r="F123" i="2" s="1"/>
  <c r="I99" i="2"/>
  <c r="J99" i="2"/>
  <c r="E100" i="2"/>
  <c r="F100" i="2"/>
  <c r="G100" i="2"/>
  <c r="H100" i="2"/>
  <c r="K100" i="2" s="1"/>
  <c r="F124" i="2" s="1"/>
  <c r="I100" i="2"/>
  <c r="J100" i="2"/>
  <c r="E101" i="2"/>
  <c r="F101" i="2"/>
  <c r="G101" i="2"/>
  <c r="H101" i="2"/>
  <c r="K101" i="2" s="1"/>
  <c r="F125" i="2" s="1"/>
  <c r="I101" i="2"/>
  <c r="J101" i="2"/>
  <c r="E87" i="2"/>
  <c r="E88" i="2"/>
  <c r="E89" i="2"/>
  <c r="E90" i="2"/>
  <c r="E91" i="2"/>
  <c r="E92" i="2"/>
  <c r="E93" i="2"/>
  <c r="E94" i="2"/>
  <c r="E95" i="2"/>
  <c r="E96" i="2"/>
  <c r="E97" i="2"/>
  <c r="E98" i="2"/>
  <c r="C17" i="3"/>
  <c r="C16" i="3"/>
  <c r="C15" i="3"/>
  <c r="C20" i="3" s="1"/>
  <c r="L99" i="2" l="1"/>
  <c r="G123" i="2" s="1"/>
  <c r="L100" i="2"/>
  <c r="G124" i="2" s="1"/>
  <c r="L101" i="2"/>
  <c r="G125" i="2" s="1"/>
  <c r="C18" i="3"/>
  <c r="C19" i="3" l="1"/>
  <c r="C21" i="3"/>
  <c r="C22" i="3" s="1"/>
  <c r="H86" i="2"/>
  <c r="C23" i="3" l="1"/>
  <c r="G34" i="3" s="1"/>
  <c r="F109" i="2"/>
  <c r="D110" i="2"/>
  <c r="E110" i="2"/>
  <c r="G86" i="2"/>
  <c r="K86" i="2" l="1"/>
  <c r="F110" i="2" s="1"/>
  <c r="J91" i="2"/>
  <c r="I94" i="2"/>
  <c r="F98" i="2"/>
  <c r="G98" i="2" s="1"/>
  <c r="H98" i="2" s="1"/>
  <c r="F97" i="2"/>
  <c r="G97" i="2" s="1"/>
  <c r="H97" i="2" s="1"/>
  <c r="F96" i="2"/>
  <c r="G96" i="2" s="1"/>
  <c r="H96" i="2" s="1"/>
  <c r="F95" i="2"/>
  <c r="G95" i="2" s="1"/>
  <c r="H95" i="2" s="1"/>
  <c r="F94" i="2"/>
  <c r="G94" i="2" s="1"/>
  <c r="H94" i="2" s="1"/>
  <c r="F93" i="2"/>
  <c r="G93" i="2" s="1"/>
  <c r="H93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7" i="2"/>
  <c r="K94" i="2" l="1"/>
  <c r="F118" i="2" s="1"/>
  <c r="G87" i="2"/>
  <c r="H87" i="2" s="1"/>
  <c r="I87" i="2"/>
  <c r="I93" i="2"/>
  <c r="K93" i="2" s="1"/>
  <c r="F117" i="2" s="1"/>
  <c r="I92" i="2"/>
  <c r="K92" i="2" s="1"/>
  <c r="F116" i="2" s="1"/>
  <c r="I91" i="2"/>
  <c r="K91" i="2" s="1"/>
  <c r="F115" i="2" s="1"/>
  <c r="J87" i="2"/>
  <c r="J94" i="2"/>
  <c r="J92" i="2"/>
  <c r="I97" i="2"/>
  <c r="K97" i="2" s="1"/>
  <c r="F121" i="2" s="1"/>
  <c r="I89" i="2"/>
  <c r="K89" i="2" s="1"/>
  <c r="F113" i="2" s="1"/>
  <c r="I98" i="2"/>
  <c r="K98" i="2" s="1"/>
  <c r="F122" i="2" s="1"/>
  <c r="I90" i="2"/>
  <c r="K90" i="2" s="1"/>
  <c r="F114" i="2" s="1"/>
  <c r="I96" i="2"/>
  <c r="K96" i="2" s="1"/>
  <c r="F120" i="2" s="1"/>
  <c r="I88" i="2"/>
  <c r="K88" i="2" s="1"/>
  <c r="F112" i="2" s="1"/>
  <c r="I95" i="2"/>
  <c r="K95" i="2" s="1"/>
  <c r="F119" i="2" s="1"/>
  <c r="L86" i="2"/>
  <c r="J93" i="2"/>
  <c r="J98" i="2"/>
  <c r="J90" i="2"/>
  <c r="J89" i="2"/>
  <c r="J96" i="2"/>
  <c r="J88" i="2"/>
  <c r="J97" i="2"/>
  <c r="J95" i="2"/>
  <c r="K87" i="2" l="1"/>
  <c r="F111" i="2" s="1"/>
  <c r="G110" i="2"/>
  <c r="L88" i="2"/>
  <c r="G112" i="2" s="1"/>
  <c r="L92" i="2"/>
  <c r="G116" i="2" s="1"/>
  <c r="L96" i="2"/>
  <c r="G120" i="2" s="1"/>
  <c r="L90" i="2"/>
  <c r="G114" i="2" s="1"/>
  <c r="L91" i="2"/>
  <c r="G115" i="2" s="1"/>
  <c r="L89" i="2"/>
  <c r="G113" i="2" s="1"/>
  <c r="L93" i="2"/>
  <c r="G117" i="2" s="1"/>
  <c r="L97" i="2"/>
  <c r="G121" i="2" s="1"/>
  <c r="L94" i="2"/>
  <c r="G118" i="2" s="1"/>
  <c r="L98" i="2"/>
  <c r="G122" i="2" s="1"/>
  <c r="L87" i="2"/>
  <c r="G111" i="2" s="1"/>
  <c r="L95" i="2"/>
  <c r="G119" i="2" s="1"/>
</calcChain>
</file>

<file path=xl/comments1.xml><?xml version="1.0" encoding="utf-8"?>
<comments xmlns="http://schemas.openxmlformats.org/spreadsheetml/2006/main">
  <authors>
    <author>Author</author>
  </authors>
  <commentList>
    <comment ref="G8" authorId="0" shapeId="0">
      <text/>
    </comment>
    <comment ref="G9" authorId="0" shapeId="0">
      <text/>
    </comment>
    <comment ref="G10" authorId="0" shapeId="0">
      <text/>
    </comment>
    <comment ref="G11" authorId="0" shapeId="0">
      <text/>
    </comment>
    <comment ref="G12" authorId="0" shapeId="0">
      <text/>
    </comment>
    <comment ref="G13" authorId="0" shapeId="0">
      <text/>
    </comment>
  </commentList>
</comments>
</file>

<file path=xl/sharedStrings.xml><?xml version="1.0" encoding="utf-8"?>
<sst xmlns="http://schemas.openxmlformats.org/spreadsheetml/2006/main" count="175" uniqueCount="101">
  <si>
    <t>FROM:</t>
  </si>
  <si>
    <t>SUBJECT:</t>
  </si>
  <si>
    <t>DATE:</t>
  </si>
  <si>
    <t>Mark Biegert</t>
  </si>
  <si>
    <t>Wire Reach Table</t>
  </si>
  <si>
    <t>Parameters</t>
  </si>
  <si>
    <t>Copper resistivity at 20 °C</t>
  </si>
  <si>
    <t>Reach Table</t>
  </si>
  <si>
    <t>Load Current
(A)</t>
  </si>
  <si>
    <t>Reach
(ft)</t>
  </si>
  <si>
    <t>AWG</t>
  </si>
  <si>
    <t>Wire Pairs</t>
  </si>
  <si>
    <t>Load Power
(W)</t>
  </si>
  <si>
    <t>Wire Diameter
(mm)</t>
  </si>
  <si>
    <r>
      <t>Wire Area
(mm</t>
    </r>
    <r>
      <rPr>
        <b/>
        <vertAlign val="superscript"/>
        <sz val="10"/>
        <color theme="1"/>
        <rFont val="Consolas"/>
        <family val="3"/>
      </rPr>
      <t>2</t>
    </r>
    <r>
      <rPr>
        <b/>
        <sz val="10"/>
        <color theme="1"/>
        <rFont val="Consolas"/>
        <family val="3"/>
      </rPr>
      <t>)</t>
    </r>
  </si>
  <si>
    <t>Ω-m</t>
  </si>
  <si>
    <t>Ω</t>
  </si>
  <si>
    <t>°C</t>
  </si>
  <si>
    <t>V</t>
  </si>
  <si>
    <t>Cu Resistivity</t>
  </si>
  <si>
    <t>Contact Resistance</t>
  </si>
  <si>
    <t>Wire Temperature</t>
  </si>
  <si>
    <t>Cu Res. Temp Coeff.</t>
  </si>
  <si>
    <t>Source Voltage</t>
  </si>
  <si>
    <t>Description</t>
  </si>
  <si>
    <t>Symbol</t>
  </si>
  <si>
    <t>Value</t>
  </si>
  <si>
    <t>Unit</t>
  </si>
  <si>
    <t>Comment</t>
  </si>
  <si>
    <t>Commonly used value</t>
  </si>
  <si>
    <t>Common PoE Assumption</t>
  </si>
  <si>
    <t>Problem statement</t>
  </si>
  <si>
    <t>Reduced Form</t>
  </si>
  <si>
    <t>Model</t>
  </si>
  <si>
    <t>Schematic</t>
  </si>
  <si>
    <t xml:space="preserve">Where </t>
  </si>
  <si>
    <t>_T</t>
  </si>
  <si>
    <t>_RC</t>
  </si>
  <si>
    <t>_kCu</t>
  </si>
  <si>
    <t>_vS</t>
  </si>
  <si>
    <t>_ρCu</t>
  </si>
  <si>
    <t>/°C</t>
  </si>
  <si>
    <t>Equations</t>
  </si>
  <si>
    <t>d is the wire diameter (mm)</t>
  </si>
  <si>
    <t>n is the wire gauge (AWG)</t>
  </si>
  <si>
    <r>
      <t>I</t>
    </r>
    <r>
      <rPr>
        <vertAlign val="subscript"/>
        <sz val="10"/>
        <color theme="1"/>
        <rFont val="Consolas"/>
        <family val="3"/>
      </rPr>
      <t>L</t>
    </r>
    <r>
      <rPr>
        <sz val="10"/>
        <color theme="1"/>
        <rFont val="Consolas"/>
        <family val="3"/>
      </rPr>
      <t xml:space="preserve"> is the load current (A)</t>
    </r>
  </si>
  <si>
    <r>
      <t>V</t>
    </r>
    <r>
      <rPr>
        <vertAlign val="subscript"/>
        <sz val="10"/>
        <color theme="1"/>
        <rFont val="Consolas"/>
        <family val="3"/>
      </rPr>
      <t>S</t>
    </r>
    <r>
      <rPr>
        <sz val="10"/>
        <color theme="1"/>
        <rFont val="Consolas"/>
        <family val="3"/>
      </rPr>
      <t xml:space="preserve"> is the source voltage (V)</t>
    </r>
  </si>
  <si>
    <r>
      <t>V</t>
    </r>
    <r>
      <rPr>
        <vertAlign val="subscript"/>
        <sz val="10"/>
        <color theme="1"/>
        <rFont val="Consolas"/>
        <family val="3"/>
      </rPr>
      <t>L</t>
    </r>
    <r>
      <rPr>
        <sz val="10"/>
        <color theme="1"/>
        <rFont val="Consolas"/>
        <family val="3"/>
      </rPr>
      <t xml:space="preserve"> is the load voltage (V)</t>
    </r>
  </si>
  <si>
    <t>T is the temperature (°C)</t>
  </si>
  <si>
    <r>
      <t>R</t>
    </r>
    <r>
      <rPr>
        <vertAlign val="subscript"/>
        <sz val="10"/>
        <color theme="1"/>
        <rFont val="Consolas"/>
        <family val="3"/>
      </rPr>
      <t>C</t>
    </r>
    <r>
      <rPr>
        <sz val="10"/>
        <color theme="1"/>
        <rFont val="Consolas"/>
        <family val="3"/>
      </rPr>
      <t xml:space="preserve"> is the contact resistance (Ω)</t>
    </r>
  </si>
  <si>
    <t>L is the cable length (m)</t>
  </si>
  <si>
    <r>
      <t>λ</t>
    </r>
    <r>
      <rPr>
        <vertAlign val="subscript"/>
        <sz val="10"/>
        <color theme="1"/>
        <rFont val="Consolas"/>
        <family val="3"/>
      </rPr>
      <t>Cu</t>
    </r>
    <r>
      <rPr>
        <sz val="10"/>
        <color theme="1"/>
        <rFont val="Consolas"/>
        <family val="3"/>
      </rPr>
      <t xml:space="preserve"> is the resistance of a unit length of copper wire (Ω/m)</t>
    </r>
  </si>
  <si>
    <t>P is the load power (W)</t>
  </si>
  <si>
    <r>
      <t>L</t>
    </r>
    <r>
      <rPr>
        <vertAlign val="subscript"/>
        <sz val="10"/>
        <color theme="1"/>
        <rFont val="Consolas"/>
        <family val="3"/>
      </rPr>
      <t>Max</t>
    </r>
    <r>
      <rPr>
        <sz val="10"/>
        <color theme="1"/>
        <rFont val="Consolas"/>
        <family val="3"/>
      </rPr>
      <t xml:space="preserve"> is the maximum length or reach (m)</t>
    </r>
  </si>
  <si>
    <r>
      <t>k</t>
    </r>
    <r>
      <rPr>
        <vertAlign val="subscript"/>
        <sz val="10"/>
        <color theme="1"/>
        <rFont val="Consolas"/>
        <family val="3"/>
      </rPr>
      <t>Cu</t>
    </r>
    <r>
      <rPr>
        <sz val="10"/>
        <color theme="1"/>
        <rFont val="Consolas"/>
        <family val="3"/>
      </rPr>
      <t xml:space="preserve"> is copper's temperature coefficient of resistance (Ω-m)</t>
    </r>
  </si>
  <si>
    <t>All calculations are done in metric, final conversion is to feet.</t>
  </si>
  <si>
    <t>Example Calculation</t>
  </si>
  <si>
    <t>Load Current</t>
  </si>
  <si>
    <t>Load Voltage</t>
  </si>
  <si>
    <t>Load Power</t>
  </si>
  <si>
    <t>Unit Resistance</t>
  </si>
  <si>
    <t>Wire Diameter</t>
  </si>
  <si>
    <t>`</t>
  </si>
  <si>
    <t>Wire Gauge</t>
  </si>
  <si>
    <t>Wire Area</t>
  </si>
  <si>
    <t>Reach</t>
  </si>
  <si>
    <t>Pairs</t>
  </si>
  <si>
    <t>Row</t>
  </si>
  <si>
    <t>Column</t>
  </si>
  <si>
    <t>ft</t>
  </si>
  <si>
    <t>Ω/m</t>
  </si>
  <si>
    <t>mm2</t>
  </si>
  <si>
    <r>
      <t>mm</t>
    </r>
    <r>
      <rPr>
        <vertAlign val="superscript"/>
        <sz val="10"/>
        <color theme="1"/>
        <rFont val="Consolas"/>
        <family val="3"/>
      </rPr>
      <t>2</t>
    </r>
  </si>
  <si>
    <t>A</t>
  </si>
  <si>
    <t>This is the reach</t>
  </si>
  <si>
    <t>Points to the row</t>
  </si>
  <si>
    <t>Points to the column</t>
  </si>
  <si>
    <t>Camera Image of Same Data Using Table Method</t>
  </si>
  <si>
    <t>Reduced Form Based on Formulas Filled Down</t>
  </si>
  <si>
    <t>Row 34 and Column G hidden</t>
  </si>
  <si>
    <t>Wire Type</t>
  </si>
  <si>
    <t>Cat5e</t>
  </si>
  <si>
    <t>Cat6</t>
  </si>
  <si>
    <t>Copper Pair</t>
  </si>
  <si>
    <t>Index</t>
  </si>
  <si>
    <t>Cat5</t>
  </si>
  <si>
    <t>W</t>
  </si>
  <si>
    <t>Distribution Summary</t>
  </si>
  <si>
    <t>Key Assumptions</t>
  </si>
  <si>
    <t>Cat 5e current limit of 600 mA per pair</t>
  </si>
  <si>
    <t>Reference</t>
  </si>
  <si>
    <t>Maximum wire temperature of 75 °C</t>
  </si>
  <si>
    <t>Temperature level assumes bundling limits</t>
  </si>
  <si>
    <t>Reference Material</t>
  </si>
  <si>
    <t>Panduit Whitepaper</t>
  </si>
  <si>
    <t>MC Communications Paper</t>
  </si>
  <si>
    <t xml:space="preserve">Allowed 15 °C temperature rise </t>
  </si>
  <si>
    <t>Most cables have max temp of 60°C</t>
  </si>
  <si>
    <t>Measure data on temperature rise is available</t>
  </si>
  <si>
    <t>Leviton Blog</t>
  </si>
  <si>
    <t>Length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</si>
</sst>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%"/>
    <numFmt numFmtId="165" formatCode="[$-409]d/mmm/yy;@"/>
    <numFmt numFmtId="166" formatCode="0.0000"/>
    <numFmt numFmtId="167" formatCode="&quot;VL = &quot;0&quot; V&quot;"/>
    <numFmt numFmtId="168" formatCode="0.00000"/>
    <numFmt numFmtId="169" formatCode="0.000\_x000a_%%%"/>
  </numFmts>
  <fonts count="18" x14ac:knownFonts="1">
    <font>
      <sz val="10"/>
      <color theme="1"/>
      <name val="Consolas"/>
      <family val="3"/>
    </font>
    <font>
      <b/>
      <sz val="11"/>
      <color theme="3"/>
      <name val="Calisto MT"/>
      <family val="2"/>
      <scheme val="minor"/>
    </font>
    <font>
      <b/>
      <u/>
      <sz val="10"/>
      <color theme="3"/>
      <name val="Consolas"/>
      <family val="3"/>
    </font>
    <font>
      <b/>
      <sz val="12"/>
      <color theme="3"/>
      <name val="Consolas"/>
      <family val="3"/>
    </font>
    <font>
      <b/>
      <sz val="10"/>
      <color theme="1"/>
      <name val="Consolas"/>
      <family val="3"/>
    </font>
    <font>
      <sz val="10"/>
      <color theme="1"/>
      <name val="Consolas"/>
      <family val="3"/>
    </font>
    <font>
      <sz val="18"/>
      <color theme="3"/>
      <name val="Calisto MT"/>
      <family val="2"/>
      <scheme val="major"/>
    </font>
    <font>
      <b/>
      <sz val="10"/>
      <color rgb="FF7030A0"/>
      <name val="Tahoma"/>
      <family val="2"/>
    </font>
    <font>
      <sz val="11"/>
      <color rgb="FF7F7F7F"/>
      <name val="Tahoma"/>
      <family val="2"/>
    </font>
    <font>
      <b/>
      <sz val="11"/>
      <color rgb="FF000099"/>
      <name val="Consolas"/>
      <family val="3"/>
    </font>
    <font>
      <b/>
      <sz val="10"/>
      <color rgb="FFDA6D00"/>
      <name val="Perpetua"/>
      <family val="2"/>
    </font>
    <font>
      <sz val="10"/>
      <color theme="4" tint="-0.24994659260841701"/>
      <name val="Consolas"/>
      <family val="3"/>
    </font>
    <font>
      <b/>
      <sz val="10"/>
      <color rgb="FF00B050"/>
      <name val="Consolas"/>
      <family val="3"/>
    </font>
    <font>
      <b/>
      <vertAlign val="superscript"/>
      <sz val="10"/>
      <color theme="1"/>
      <name val="Consolas"/>
      <family val="3"/>
    </font>
    <font>
      <vertAlign val="subscript"/>
      <sz val="10"/>
      <color theme="1"/>
      <name val="Consolas"/>
      <family val="3"/>
    </font>
    <font>
      <vertAlign val="superscript"/>
      <sz val="10"/>
      <color theme="1"/>
      <name val="Consolas"/>
      <family val="3"/>
    </font>
    <font>
      <b/>
      <sz val="11"/>
      <color rgb="FF7030A0"/>
      <name val="Consolas"/>
      <family val="3"/>
    </font>
    <font>
      <b/>
      <sz val="10"/>
      <color rgb="FF7030A0"/>
      <name val="Consolas"/>
      <family val="3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double">
        <color theme="1"/>
      </top>
      <bottom style="thin">
        <color theme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</borders>
  <cellStyleXfs count="15">
    <xf numFmtId="165" fontId="0" fillId="0" borderId="0" applyFill="0" applyBorder="0" applyProtection="0">
      <alignment vertical="top"/>
    </xf>
    <xf numFmtId="165" fontId="3" fillId="0" borderId="0" applyNumberFormat="0" applyProtection="0">
      <alignment vertical="center"/>
    </xf>
    <xf numFmtId="165" fontId="9" fillId="0" borderId="0" applyNumberFormat="0" applyFill="0" applyBorder="0" applyProtection="0">
      <alignment vertical="center"/>
    </xf>
    <xf numFmtId="165" fontId="2" fillId="0" borderId="0" applyNumberFormat="0" applyFill="0" applyProtection="0">
      <alignment vertical="center"/>
    </xf>
    <xf numFmtId="165" fontId="1" fillId="0" borderId="0" applyNumberFormat="0" applyFill="0" applyBorder="0" applyAlignment="0" applyProtection="0"/>
    <xf numFmtId="165" fontId="4" fillId="0" borderId="1" applyNumberFormat="0" applyFill="0" applyAlignment="0" applyProtection="0"/>
    <xf numFmtId="165" fontId="7" fillId="0" borderId="0" applyNumberFormat="0" applyFill="0" applyBorder="0" applyAlignment="0" applyProtection="0">
      <alignment vertical="top"/>
    </xf>
    <xf numFmtId="164" fontId="5" fillId="0" borderId="0" applyFont="0" applyFill="0" applyBorder="0" applyAlignment="0" applyProtection="0"/>
    <xf numFmtId="165" fontId="6" fillId="0" borderId="0" applyNumberFormat="0" applyFill="0" applyBorder="0" applyAlignment="0" applyProtection="0"/>
    <xf numFmtId="165" fontId="5" fillId="0" borderId="2" applyNumberFormat="0" applyFill="0" applyProtection="0">
      <alignment vertical="center"/>
    </xf>
    <xf numFmtId="165" fontId="5" fillId="0" borderId="0" applyFont="0" applyFill="0" applyBorder="0" applyAlignment="0" applyProtection="0">
      <alignment vertical="top"/>
    </xf>
    <xf numFmtId="165" fontId="10" fillId="0" borderId="0" applyNumberFormat="0" applyFill="0" applyBorder="0" applyAlignment="0" applyProtection="0"/>
    <xf numFmtId="165" fontId="11" fillId="0" borderId="0" applyNumberFormat="0" applyFill="0" applyBorder="0" applyAlignment="0" applyProtection="0">
      <alignment vertical="top"/>
    </xf>
    <xf numFmtId="165" fontId="12" fillId="0" borderId="3" applyNumberFormat="0" applyBorder="0" applyAlignment="0" applyProtection="0"/>
    <xf numFmtId="165" fontId="8" fillId="0" borderId="0" applyNumberFormat="0" applyFill="0" applyBorder="0" applyAlignment="0" applyProtection="0"/>
  </cellStyleXfs>
  <cellXfs count="59">
    <xf numFmtId="165" fontId="0" fillId="0" borderId="0" xfId="0">
      <alignment vertical="top"/>
    </xf>
    <xf numFmtId="165" fontId="4" fillId="2" borderId="0" xfId="0" applyFont="1" applyFill="1" applyAlignment="1">
      <alignment horizontal="left" vertical="top"/>
    </xf>
    <xf numFmtId="165" fontId="0" fillId="3" borderId="0" xfId="0" applyFont="1" applyFill="1" applyAlignment="1">
      <alignment horizontal="left" vertical="top"/>
    </xf>
    <xf numFmtId="165" fontId="0" fillId="0" borderId="0" xfId="0" applyFont="1">
      <alignment vertical="top"/>
    </xf>
    <xf numFmtId="15" fontId="0" fillId="3" borderId="0" xfId="0" applyNumberFormat="1" applyFont="1" applyFill="1" applyAlignment="1">
      <alignment horizontal="left" vertical="top"/>
    </xf>
    <xf numFmtId="165" fontId="0" fillId="0" borderId="0" xfId="0" applyAlignment="1"/>
    <xf numFmtId="11" fontId="0" fillId="0" borderId="0" xfId="0" applyNumberFormat="1" applyAlignment="1"/>
    <xf numFmtId="165" fontId="4" fillId="0" borderId="4" xfId="0" applyFont="1" applyBorder="1" applyAlignment="1">
      <alignment horizontal="centerContinuous" wrapText="1"/>
    </xf>
    <xf numFmtId="165" fontId="4" fillId="0" borderId="5" xfId="0" applyFont="1" applyBorder="1" applyAlignment="1">
      <alignment horizontal="centerContinuous"/>
    </xf>
    <xf numFmtId="165" fontId="0" fillId="0" borderId="5" xfId="0" applyBorder="1" applyAlignment="1">
      <alignment horizontal="centerContinuous"/>
    </xf>
    <xf numFmtId="165" fontId="0" fillId="0" borderId="7" xfId="0" applyBorder="1" applyAlignment="1"/>
    <xf numFmtId="1" fontId="0" fillId="0" borderId="7" xfId="0" applyNumberFormat="1" applyBorder="1" applyAlignment="1"/>
    <xf numFmtId="165" fontId="0" fillId="0" borderId="8" xfId="0" applyBorder="1" applyAlignment="1"/>
    <xf numFmtId="165" fontId="7" fillId="0" borderId="0" xfId="6" applyAlignment="1"/>
    <xf numFmtId="165" fontId="3" fillId="0" borderId="0" xfId="1">
      <alignment vertical="center"/>
    </xf>
    <xf numFmtId="166" fontId="0" fillId="0" borderId="7" xfId="0" applyNumberFormat="1" applyBorder="1" applyAlignment="1"/>
    <xf numFmtId="166" fontId="0" fillId="0" borderId="8" xfId="0" applyNumberFormat="1" applyBorder="1" applyAlignment="1"/>
    <xf numFmtId="165" fontId="4" fillId="0" borderId="6" xfId="0" applyFont="1" applyBorder="1" applyAlignment="1">
      <alignment horizontal="center" vertical="top"/>
    </xf>
    <xf numFmtId="165" fontId="4" fillId="0" borderId="6" xfId="0" applyFont="1" applyBorder="1" applyAlignment="1">
      <alignment horizontal="center" vertical="top" wrapText="1"/>
    </xf>
    <xf numFmtId="167" fontId="4" fillId="0" borderId="6" xfId="0" applyNumberFormat="1" applyFont="1" applyBorder="1" applyAlignment="1">
      <alignment horizontal="center" vertical="center"/>
    </xf>
    <xf numFmtId="165" fontId="0" fillId="0" borderId="0" xfId="0" applyFont="1" applyFill="1" applyAlignment="1">
      <alignment horizontal="left" vertical="top"/>
    </xf>
    <xf numFmtId="165" fontId="9" fillId="0" borderId="0" xfId="2">
      <alignment vertical="center"/>
    </xf>
    <xf numFmtId="165" fontId="0" fillId="0" borderId="0" xfId="0" applyAlignment="1">
      <alignment horizontal="left" vertical="top" indent="1"/>
    </xf>
    <xf numFmtId="165" fontId="9" fillId="0" borderId="9" xfId="2" applyBorder="1" applyAlignment="1">
      <alignment horizontal="center" vertical="center"/>
    </xf>
    <xf numFmtId="165" fontId="0" fillId="0" borderId="9" xfId="0" applyBorder="1" applyAlignment="1"/>
    <xf numFmtId="165" fontId="9" fillId="0" borderId="11" xfId="2" applyBorder="1" applyAlignment="1">
      <alignment horizontal="center" vertical="center"/>
    </xf>
    <xf numFmtId="165" fontId="0" fillId="0" borderId="10" xfId="0" applyBorder="1" applyAlignment="1">
      <alignment horizontal="left" indent="2"/>
    </xf>
    <xf numFmtId="165" fontId="9" fillId="0" borderId="13" xfId="2" applyBorder="1" applyAlignment="1">
      <alignment horizontal="center" vertical="center"/>
    </xf>
    <xf numFmtId="165" fontId="0" fillId="0" borderId="12" xfId="0" applyBorder="1" applyAlignment="1">
      <alignment horizontal="center"/>
    </xf>
    <xf numFmtId="165" fontId="0" fillId="0" borderId="10" xfId="0" applyFont="1" applyBorder="1">
      <alignment vertical="top"/>
    </xf>
    <xf numFmtId="165" fontId="0" fillId="0" borderId="10" xfId="0" applyBorder="1" applyAlignment="1"/>
    <xf numFmtId="165" fontId="0" fillId="0" borderId="0" xfId="0" applyAlignment="1">
      <alignment horizontal="left" vertical="top"/>
    </xf>
    <xf numFmtId="165" fontId="0" fillId="0" borderId="0" xfId="0" applyFill="1" applyBorder="1" applyAlignment="1">
      <alignment horizontal="left"/>
    </xf>
    <xf numFmtId="165" fontId="0" fillId="0" borderId="14" xfId="0" applyFont="1" applyBorder="1">
      <alignment vertical="top"/>
    </xf>
    <xf numFmtId="165" fontId="0" fillId="0" borderId="9" xfId="0" applyFont="1" applyBorder="1">
      <alignment vertical="top"/>
    </xf>
    <xf numFmtId="165" fontId="4" fillId="0" borderId="13" xfId="0" applyFont="1" applyBorder="1" applyAlignment="1">
      <alignment horizontal="center" vertical="top"/>
    </xf>
    <xf numFmtId="165" fontId="4" fillId="0" borderId="13" xfId="0" applyFont="1" applyBorder="1" applyAlignment="1">
      <alignment horizontal="center" vertical="top" wrapText="1"/>
    </xf>
    <xf numFmtId="2" fontId="0" fillId="4" borderId="0" xfId="0" applyNumberFormat="1" applyFill="1" applyAlignment="1"/>
    <xf numFmtId="165" fontId="16" fillId="0" borderId="0" xfId="0" applyFont="1" applyAlignment="1"/>
    <xf numFmtId="165" fontId="16" fillId="0" borderId="0" xfId="0" applyFont="1">
      <alignment vertical="top"/>
    </xf>
    <xf numFmtId="2" fontId="4" fillId="0" borderId="13" xfId="0" applyNumberFormat="1" applyFont="1" applyBorder="1" applyAlignment="1">
      <alignment horizontal="center" vertical="top"/>
    </xf>
    <xf numFmtId="165" fontId="17" fillId="0" borderId="0" xfId="0" applyFont="1">
      <alignment vertical="top"/>
    </xf>
    <xf numFmtId="1" fontId="0" fillId="0" borderId="8" xfId="0" applyNumberFormat="1" applyBorder="1" applyAlignment="1"/>
    <xf numFmtId="165" fontId="3" fillId="0" borderId="0" xfId="1" applyFont="1">
      <alignment vertical="center"/>
    </xf>
    <xf numFmtId="165" fontId="11" fillId="0" borderId="0" xfId="12">
      <alignment vertical="top"/>
    </xf>
    <xf numFmtId="165" fontId="0" fillId="0" borderId="0" xfId="0" applyFont="1" applyAlignment="1">
      <alignment vertical="center"/>
    </xf>
    <xf numFmtId="165" fontId="0" fillId="0" borderId="0" xfId="0" applyFont="1" applyAlignment="1">
      <alignment horizontal="center" vertical="top"/>
    </xf>
    <xf numFmtId="2" fontId="0" fillId="0" borderId="0" xfId="0" applyNumberFormat="1" applyAlignment="1"/>
    <xf numFmtId="2" fontId="0" fillId="5" borderId="0" xfId="0" applyNumberFormat="1" applyFill="1" applyAlignment="1"/>
    <xf numFmtId="168" fontId="0" fillId="0" borderId="0" xfId="0" applyNumberFormat="1" applyAlignment="1"/>
    <xf numFmtId="10" fontId="0" fillId="0" borderId="0" xfId="0" applyNumberFormat="1" applyAlignment="1"/>
    <xf numFmtId="165" fontId="4" fillId="0" borderId="6" xfId="0" applyFont="1" applyBorder="1" applyAlignment="1">
      <alignment horizontal="center" vertical="center"/>
    </xf>
    <xf numFmtId="165" fontId="4" fillId="0" borderId="6" xfId="0" applyFont="1" applyBorder="1" applyAlignment="1">
      <alignment horizontal="center" vertical="center" wrapText="1"/>
    </xf>
    <xf numFmtId="169" fontId="0" fillId="0" borderId="8" xfId="0" applyNumberFormat="1" applyBorder="1" applyAlignment="1">
      <alignment wrapText="1"/>
    </xf>
    <xf numFmtId="169" fontId="0" fillId="0" borderId="7" xfId="0" applyNumberFormat="1" applyBorder="1" applyAlignment="1">
      <alignment vertical="top" wrapText="1"/>
    </xf>
    <xf numFmtId="169" fontId="0" fillId="0" borderId="7" xfId="0" applyNumberFormat="1" applyBorder="1" applyAlignment="1">
      <alignment vertical="top" wrapText="1"/>
    </xf>
    <xf numFmtId="169" fontId="0" fillId="0" borderId="8" xfId="0" applyNumberFormat="1" applyBorder="1" applyAlignment="1">
      <alignment wrapText="1"/>
    </xf>
    <xf numFmtId="169" fontId="0" fillId="0" borderId="0" xfId="0" applyNumberFormat="1" applyAlignment="1">
      <alignment vertical="top" wrapText="1"/>
    </xf>
    <xf numFmtId="169" fontId="0" fillId="0" borderId="0" xfId="0" applyNumberFormat="1" applyBorder="1" applyAlignment="1">
      <alignment wrapText="1"/>
    </xf>
  </cellXfs>
  <cellStyles count="15">
    <cellStyle name="BiegertDate" xfId="10"/>
    <cellStyle name="Comment" xfId="6"/>
    <cellStyle name="Explanatory Text" xfId="14" builtinId="53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hidden="1"/>
    <cellStyle name="Hyperlink" xfId="12" builtinId="8" customBuiltin="1"/>
    <cellStyle name="Input" xfId="13" builtinId="20" customBuiltin="1"/>
    <cellStyle name="Linked Cell" xfId="11" builtinId="24" customBuiltin="1"/>
    <cellStyle name="Normal" xfId="0" builtinId="0" customBuiltin="1"/>
    <cellStyle name="Percent" xfId="7" builtinId="5" customBuiltin="1"/>
    <cellStyle name="Table Heading" xfId="9"/>
    <cellStyle name="Title" xfId="8" builtinId="15" hidden="1"/>
    <cellStyle name="Total" xfId="5" builtinId="25" customBuiltin="1"/>
  </cellStyles>
  <dxfs count="40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3" tint="0.749961851863155"/>
        </patternFill>
      </fill>
    </dxf>
    <dxf>
      <fill>
        <patternFill>
          <bgColor theme="4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rgb="FF92D05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2" tint="-9.9948118533890809E-2"/>
        </patternFill>
      </fill>
    </dxf>
    <dxf>
      <fill>
        <patternFill patternType="solid">
          <bgColor theme="9" tint="0.79998168889431442"/>
        </patternFill>
      </fill>
      <border>
        <left/>
        <top/>
      </border>
    </dxf>
    <dxf>
      <fill>
        <patternFill>
          <bgColor theme="5" tint="0.39994506668294322"/>
        </patternFill>
      </fill>
    </dxf>
    <dxf>
      <font>
        <b/>
        <i val="0"/>
      </font>
      <border>
        <top style="double">
          <color auto="1"/>
        </top>
      </border>
    </dxf>
    <dxf>
      <font>
        <b/>
        <i val="0"/>
      </font>
      <fill>
        <patternFill>
          <bgColor rgb="FFFFCC66"/>
        </patternFill>
      </fill>
      <border>
        <bottom style="double">
          <color auto="1"/>
        </bottom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3" defaultTableStyle="TableStyleMedium2" defaultPivotStyle="PivotStyleLight16">
    <tableStyle name="Biegert Standard PT" table="0" count="22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secondRowStripe" dxfId="33"/>
      <tableStyleElement type="firstColumnStripe" dxfId="32"/>
      <tableStyleElement type="secondColumnStripe" dxfId="31"/>
      <tableStyleElement type="firstHeaderCell" dxfId="30"/>
      <tableStyleElement type="firstSubtotalColumn" dxfId="29"/>
      <tableStyleElement type="firstSubtotalRow" dxfId="28"/>
      <tableStyleElement type="secondSubtotalRow" dxfId="27"/>
      <tableStyleElement type="thirdSubtotalRow" dxfId="26"/>
      <tableStyleElement type="blankRow" dxfId="25"/>
      <tableStyleElement type="firstColumnSubheading" dxfId="24"/>
      <tableStyleElement type="secondColumnSubheading" dxfId="23"/>
      <tableStyleElement type="firstRowSubheading" dxfId="22"/>
      <tableStyleElement type="secondRowSubheading" dxfId="21"/>
      <tableStyleElement type="thirdRowSubheading" dxfId="20"/>
      <tableStyleElement type="pageFieldLabels" dxfId="19"/>
      <tableStyleElement type="pageFieldValues" dxfId="18"/>
    </tableStyle>
    <tableStyle name="TableStyleQueryPreview" pivot="0" count="3">
      <tableStyleElement type="wholeTable" dxfId="17"/>
      <tableStyleElement type="headerRow" dxfId="16"/>
      <tableStyleElement type="firstRowStripe" dxfId="15"/>
    </tableStyle>
    <tableStyle name="TableStyleQueryResult" pivot="0" count="3">
      <tableStyleElement type="wholeTable" dxfId="14"/>
      <tableStyleElement type="headerRow" dxfId="13"/>
      <tableStyleElement type="firstRowStripe" dxfId="12"/>
    </tableStyle>
  </tableStyles>
  <colors>
    <mruColors>
      <color rgb="FFDA6D00"/>
      <color rgb="FF000099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image" Target="../media/image7.png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image" Target="../media/image2.emf"/><Relationship Id="rId4" Type="http://schemas.openxmlformats.org/officeDocument/2006/relationships/image" Target="../media/image1.emf"/><Relationship Id="rId9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95250</xdr:rowOff>
        </xdr:from>
        <xdr:to>
          <xdr:col>1</xdr:col>
          <xdr:colOff>952500</xdr:colOff>
          <xdr:row>37</xdr:row>
          <xdr:rowOff>781050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38</xdr:row>
          <xdr:rowOff>114300</xdr:rowOff>
        </xdr:from>
        <xdr:to>
          <xdr:col>1</xdr:col>
          <xdr:colOff>952500</xdr:colOff>
          <xdr:row>38</xdr:row>
          <xdr:rowOff>800100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39</xdr:row>
          <xdr:rowOff>57150</xdr:rowOff>
        </xdr:from>
        <xdr:to>
          <xdr:col>1</xdr:col>
          <xdr:colOff>952500</xdr:colOff>
          <xdr:row>39</xdr:row>
          <xdr:rowOff>742950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647701</xdr:colOff>
          <xdr:row>16</xdr:row>
          <xdr:rowOff>47625</xdr:rowOff>
        </xdr:from>
        <xdr:to>
          <xdr:col>7</xdr:col>
          <xdr:colOff>480312</xdr:colOff>
          <xdr:row>33</xdr:row>
          <xdr:rowOff>47625</xdr:rowOff>
        </xdr:to>
        <xdr:pic>
          <xdr:nvPicPr>
            <xdr:cNvPr id="5" name="Picture 4"/>
            <xdr:cNvPicPr>
              <a:picLocks noChangeAspect="1" noChangeArrowheads="1"/>
              <a:extLst>
                <a:ext uri="{84589F7E-364E-4C9E-8A38-B11213B215E9}">
                  <a14:cameraTool cellRange="ReachTable!$C$32:$I$49" spid="_x0000_s310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47701" y="2714625"/>
              <a:ext cx="5176136" cy="27527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32</xdr:row>
          <xdr:rowOff>47625</xdr:rowOff>
        </xdr:from>
        <xdr:to>
          <xdr:col>7</xdr:col>
          <xdr:colOff>142875</xdr:colOff>
          <xdr:row>57</xdr:row>
          <xdr:rowOff>66675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4483</xdr:colOff>
          <xdr:row>108</xdr:row>
          <xdr:rowOff>21291</xdr:rowOff>
        </xdr:from>
        <xdr:to>
          <xdr:col>15</xdr:col>
          <xdr:colOff>779369</xdr:colOff>
          <xdr:row>125</xdr:row>
          <xdr:rowOff>30816</xdr:rowOff>
        </xdr:to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ReachTable!$C$32:$I$49" spid="_x0000_s10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792571" y="18006732"/>
              <a:ext cx="5851151" cy="303511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0</xdr:col>
      <xdr:colOff>595589</xdr:colOff>
      <xdr:row>7</xdr:row>
      <xdr:rowOff>89646</xdr:rowOff>
    </xdr:from>
    <xdr:to>
      <xdr:col>7</xdr:col>
      <xdr:colOff>429299</xdr:colOff>
      <xdr:row>30</xdr:row>
      <xdr:rowOff>22412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589" y="1266264"/>
          <a:ext cx="6613269" cy="3541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295274</xdr:colOff>
      <xdr:row>14</xdr:row>
      <xdr:rowOff>19050</xdr:rowOff>
    </xdr:from>
    <xdr:to>
      <xdr:col>3</xdr:col>
      <xdr:colOff>590549</xdr:colOff>
      <xdr:row>18</xdr:row>
      <xdr:rowOff>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714749" y="2609850"/>
          <a:ext cx="295275" cy="628650"/>
        </a:xfrm>
        <a:prstGeom prst="rightBrace">
          <a:avLst>
            <a:gd name="adj1" fmla="val 8333"/>
            <a:gd name="adj2" fmla="val 51515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609599</xdr:colOff>
      <xdr:row>14</xdr:row>
      <xdr:rowOff>123825</xdr:rowOff>
    </xdr:from>
    <xdr:to>
      <xdr:col>5</xdr:col>
      <xdr:colOff>885825</xdr:colOff>
      <xdr:row>17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4181474" y="2514600"/>
          <a:ext cx="1809751" cy="4762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7030A0"/>
              </a:solidFill>
              <a:latin typeface="Consolas" panose="020B0609020204030204" pitchFamily="49" charset="0"/>
              <a:cs typeface="Consolas" panose="020B0609020204030204" pitchFamily="49" charset="0"/>
            </a:rPr>
            <a:t>These are parameters </a:t>
          </a:r>
          <a:r>
            <a:rPr lang="en-US" sz="1100" b="1">
              <a:solidFill>
                <a:srgbClr val="7030A0"/>
              </a:solidFill>
              <a:latin typeface="Consolas" panose="020B0609020204030204" pitchFamily="49" charset="0"/>
            </a:rPr>
            <a:t>that are varying</a:t>
          </a: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theme/theme1.xml><?xml version="1.0" encoding="utf-8"?>
<a:theme xmlns:a="http://schemas.openxmlformats.org/drawingml/2006/main" name="Slate">
  <a:themeElements>
    <a:clrScheme name="Slate">
      <a:dk1>
        <a:sysClr val="windowText" lastClr="000000"/>
      </a:dk1>
      <a:lt1>
        <a:sysClr val="window" lastClr="FFFFFF"/>
      </a:lt1>
      <a:dk2>
        <a:srgbClr val="212123"/>
      </a:dk2>
      <a:lt2>
        <a:srgbClr val="DADADA"/>
      </a:lt2>
      <a:accent1>
        <a:srgbClr val="BC451B"/>
      </a:accent1>
      <a:accent2>
        <a:srgbClr val="D3BA68"/>
      </a:accent2>
      <a:accent3>
        <a:srgbClr val="BB8640"/>
      </a:accent3>
      <a:accent4>
        <a:srgbClr val="AD9277"/>
      </a:accent4>
      <a:accent5>
        <a:srgbClr val="A55A43"/>
      </a:accent5>
      <a:accent6>
        <a:srgbClr val="AD9D7B"/>
      </a:accent6>
      <a:hlink>
        <a:srgbClr val="E98052"/>
      </a:hlink>
      <a:folHlink>
        <a:srgbClr val="F4B69B"/>
      </a:folHlink>
    </a:clrScheme>
    <a:fontScheme name="Slate">
      <a:maj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Slat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90000"/>
                <a:lumMod val="90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shade val="90000"/>
            </a:schemeClr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 prst="hardEdge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10" Type="http://schemas.openxmlformats.org/officeDocument/2006/relationships/comments" Target="../comments1.xml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40"/>
  <sheetViews>
    <sheetView tabSelected="1" workbookViewId="0">
      <selection activeCell="D5" sqref="D5"/>
    </sheetView>
  </sheetViews>
  <sheetFormatPr defaultRowHeight="12.75" x14ac:dyDescent="0.2"/>
  <cols>
    <col min="1" max="1" width="9.85546875" style="3" bestFit="1" customWidth="1"/>
    <col min="2" max="2" width="15.7109375" style="3" customWidth="1"/>
    <col min="3" max="3" width="11.42578125" style="3" customWidth="1"/>
    <col min="4" max="4" width="10.85546875" style="3" customWidth="1"/>
    <col min="5" max="5" width="12" style="3" customWidth="1"/>
    <col min="6" max="6" width="9.140625" style="3"/>
    <col min="7" max="7" width="11.140625" style="46" customWidth="1"/>
    <col min="8" max="16384" width="9.140625" style="3"/>
  </cols>
  <sheetData>
    <row r="1" spans="1:7" x14ac:dyDescent="0.2">
      <c r="A1" s="1" t="s">
        <v>0</v>
      </c>
      <c r="B1" s="2" t="s">
        <v>3</v>
      </c>
      <c r="C1" s="2"/>
      <c r="D1" s="2"/>
    </row>
    <row r="2" spans="1:7" x14ac:dyDescent="0.2">
      <c r="A2" s="1" t="s">
        <v>1</v>
      </c>
      <c r="B2" s="2" t="s">
        <v>87</v>
      </c>
      <c r="C2" s="2"/>
      <c r="D2" s="2"/>
    </row>
    <row r="3" spans="1:7" x14ac:dyDescent="0.2">
      <c r="A3" s="1" t="s">
        <v>2</v>
      </c>
      <c r="B3" s="2">
        <v>42704</v>
      </c>
      <c r="C3" s="2"/>
      <c r="D3" s="2"/>
    </row>
    <row r="5" spans="1:7" ht="15.75" x14ac:dyDescent="0.2">
      <c r="A5" s="43" t="s">
        <v>88</v>
      </c>
    </row>
    <row r="8" spans="1:7" x14ac:dyDescent="0.2">
      <c r="B8" s="3" t="s">
        <v>92</v>
      </c>
      <c r="G8" s="46" t="s">
        <v>90</v>
      </c>
    </row>
    <row r="9" spans="1:7" x14ac:dyDescent="0.2">
      <c r="B9" s="3" t="s">
        <v>89</v>
      </c>
      <c r="F9" s="44"/>
      <c r="G9" s="46" t="s">
        <v>90</v>
      </c>
    </row>
    <row r="10" spans="1:7" x14ac:dyDescent="0.2">
      <c r="B10" s="3" t="s">
        <v>96</v>
      </c>
      <c r="G10" s="46" t="s">
        <v>90</v>
      </c>
    </row>
    <row r="11" spans="1:7" x14ac:dyDescent="0.2">
      <c r="B11" s="3" t="s">
        <v>97</v>
      </c>
      <c r="G11" s="46" t="s">
        <v>90</v>
      </c>
    </row>
    <row r="12" spans="1:7" x14ac:dyDescent="0.2">
      <c r="B12" s="3" t="s">
        <v>91</v>
      </c>
      <c r="G12" s="46" t="s">
        <v>90</v>
      </c>
    </row>
    <row r="13" spans="1:7" x14ac:dyDescent="0.2">
      <c r="B13" s="3" t="s">
        <v>98</v>
      </c>
      <c r="G13" s="46" t="s">
        <v>90</v>
      </c>
    </row>
    <row r="15" spans="1:7" ht="15.75" x14ac:dyDescent="0.2">
      <c r="A15" s="14" t="s">
        <v>100</v>
      </c>
    </row>
    <row r="36" spans="1:3" ht="15.75" x14ac:dyDescent="0.2">
      <c r="A36" s="14" t="s">
        <v>93</v>
      </c>
    </row>
    <row r="38" spans="1:3" ht="69" customHeight="1" x14ac:dyDescent="0.2">
      <c r="C38" s="45" t="s">
        <v>95</v>
      </c>
    </row>
    <row r="39" spans="1:3" ht="72.75" customHeight="1" x14ac:dyDescent="0.2">
      <c r="C39" s="45" t="s">
        <v>94</v>
      </c>
    </row>
    <row r="40" spans="1:3" ht="63" customHeight="1" x14ac:dyDescent="0.2">
      <c r="C40" s="45" t="s">
        <v>99</v>
      </c>
    </row>
  </sheetData>
  <pageMargins left="0.7" right="0.7" top="0.75" bottom="0.75" header="0.3" footer="0.3"/>
  <pageSetup orientation="portrait" r:id="rId1"/>
  <headerFooter>
    <oddHeader>&amp;L&amp;"Palatino Linotype"DC Power Distribution Summary Page&amp;R&amp;"Palatino Linotype"Final.xlsx</oddHeader>
    <oddFooter>&amp;L&amp;"Palatino Linotype"Distribution Summary&amp;C&amp;"Palatino Linotype"Page &amp;P of &amp;N&amp;R&amp;"Palatino Linotype"Sheet Name: Summary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80" r:id="rId4">
          <objectPr defaultSize="0" r:id="rId5">
            <anchor moveWithCells="1">
              <from>
                <xdr:col>1</xdr:col>
                <xdr:colOff>38100</xdr:colOff>
                <xdr:row>37</xdr:row>
                <xdr:rowOff>95250</xdr:rowOff>
              </from>
              <to>
                <xdr:col>1</xdr:col>
                <xdr:colOff>952500</xdr:colOff>
                <xdr:row>37</xdr:row>
                <xdr:rowOff>781050</xdr:rowOff>
              </to>
            </anchor>
          </objectPr>
        </oleObject>
      </mc:Choice>
      <mc:Fallback>
        <oleObject progId="Acrobat Document" dvAspect="DVASPECT_ICON" shapeId="3080" r:id="rId4"/>
      </mc:Fallback>
    </mc:AlternateContent>
    <mc:AlternateContent xmlns:mc="http://schemas.openxmlformats.org/markup-compatibility/2006">
      <mc:Choice Requires="x14">
        <oleObject progId="Acrobat Document" dvAspect="DVASPECT_ICON" shapeId="3081" r:id="rId6">
          <objectPr defaultSize="0" r:id="rId7">
            <anchor moveWithCells="1">
              <from>
                <xdr:col>1</xdr:col>
                <xdr:colOff>38100</xdr:colOff>
                <xdr:row>38</xdr:row>
                <xdr:rowOff>114300</xdr:rowOff>
              </from>
              <to>
                <xdr:col>1</xdr:col>
                <xdr:colOff>952500</xdr:colOff>
                <xdr:row>38</xdr:row>
                <xdr:rowOff>800100</xdr:rowOff>
              </to>
            </anchor>
          </objectPr>
        </oleObject>
      </mc:Choice>
      <mc:Fallback>
        <oleObject progId="Acrobat Document" dvAspect="DVASPECT_ICON" shapeId="3081" r:id="rId6"/>
      </mc:Fallback>
    </mc:AlternateContent>
    <mc:AlternateContent xmlns:mc="http://schemas.openxmlformats.org/markup-compatibility/2006">
      <mc:Choice Requires="x14">
        <oleObject progId="Acrobat Document" dvAspect="DVASPECT_ICON" shapeId="3085" r:id="rId8">
          <objectPr defaultSize="0" r:id="rId9">
            <anchor moveWithCells="1">
              <from>
                <xdr:col>1</xdr:col>
                <xdr:colOff>38100</xdr:colOff>
                <xdr:row>39</xdr:row>
                <xdr:rowOff>57150</xdr:rowOff>
              </from>
              <to>
                <xdr:col>1</xdr:col>
                <xdr:colOff>952500</xdr:colOff>
                <xdr:row>39</xdr:row>
                <xdr:rowOff>742950</xdr:rowOff>
              </to>
            </anchor>
          </objectPr>
        </oleObject>
      </mc:Choice>
      <mc:Fallback>
        <oleObject progId="Acrobat Document" dvAspect="DVASPECT_ICON" shapeId="3085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L125"/>
  <sheetViews>
    <sheetView showGridLines="0" topLeftCell="A81" zoomScale="85" zoomScaleNormal="85" zoomScalePageLayoutView="40" workbookViewId="0">
      <selection activeCell="E100" sqref="E100"/>
    </sheetView>
  </sheetViews>
  <sheetFormatPr defaultRowHeight="12.75" x14ac:dyDescent="0.2"/>
  <cols>
    <col min="1" max="1" width="9.140625" style="3"/>
    <col min="2" max="2" width="25" style="3" customWidth="1"/>
    <col min="3" max="3" width="12.5703125" style="3" customWidth="1"/>
    <col min="4" max="4" width="11" style="3" customWidth="1"/>
    <col min="5" max="5" width="12" style="3" customWidth="1"/>
    <col min="6" max="6" width="17" style="3" customWidth="1"/>
    <col min="7" max="8" width="15.140625" style="3" bestFit="1" customWidth="1"/>
    <col min="9" max="11" width="10" style="3" bestFit="1" customWidth="1"/>
    <col min="12" max="12" width="10" style="3" customWidth="1"/>
    <col min="13" max="17" width="12" style="3" customWidth="1"/>
    <col min="18" max="16384" width="9.140625" style="3"/>
  </cols>
  <sheetData>
    <row r="1" spans="1:4" x14ac:dyDescent="0.2">
      <c r="A1" s="1" t="s">
        <v>0</v>
      </c>
      <c r="B1" s="2" t="s">
        <v>3</v>
      </c>
      <c r="C1" s="20"/>
      <c r="D1" s="20"/>
    </row>
    <row r="2" spans="1:4" x14ac:dyDescent="0.2">
      <c r="A2" s="1" t="s">
        <v>1</v>
      </c>
      <c r="B2" s="2" t="s">
        <v>4</v>
      </c>
      <c r="C2" s="20"/>
      <c r="D2" s="20"/>
    </row>
    <row r="3" spans="1:4" x14ac:dyDescent="0.2">
      <c r="A3" s="1" t="s">
        <v>2</v>
      </c>
      <c r="B3" s="4">
        <v>42701</v>
      </c>
      <c r="C3" s="20"/>
      <c r="D3" s="20"/>
    </row>
    <row r="5" spans="1:4" ht="15.75" x14ac:dyDescent="0.2">
      <c r="A5" s="14" t="s">
        <v>33</v>
      </c>
    </row>
    <row r="6" spans="1:4" ht="15" x14ac:dyDescent="0.2">
      <c r="B6" s="21" t="s">
        <v>34</v>
      </c>
    </row>
    <row r="7" spans="1:4" x14ac:dyDescent="0.2">
      <c r="B7"/>
    </row>
    <row r="32" spans="2:2" ht="15" x14ac:dyDescent="0.2">
      <c r="B32" s="21" t="s">
        <v>42</v>
      </c>
    </row>
    <row r="59" spans="2:2" x14ac:dyDescent="0.2">
      <c r="B59" t="s">
        <v>35</v>
      </c>
    </row>
    <row r="60" spans="2:2" x14ac:dyDescent="0.2">
      <c r="B60" s="22" t="s">
        <v>44</v>
      </c>
    </row>
    <row r="61" spans="2:2" x14ac:dyDescent="0.2">
      <c r="B61" s="22" t="s">
        <v>43</v>
      </c>
    </row>
    <row r="62" spans="2:2" ht="14.25" x14ac:dyDescent="0.2">
      <c r="B62" s="22" t="s">
        <v>45</v>
      </c>
    </row>
    <row r="63" spans="2:2" ht="14.25" x14ac:dyDescent="0.2">
      <c r="B63" s="22" t="s">
        <v>46</v>
      </c>
    </row>
    <row r="64" spans="2:2" ht="14.25" x14ac:dyDescent="0.2">
      <c r="B64" s="22" t="s">
        <v>47</v>
      </c>
    </row>
    <row r="65" spans="1:12" x14ac:dyDescent="0.2">
      <c r="B65" s="22" t="s">
        <v>48</v>
      </c>
    </row>
    <row r="66" spans="1:12" ht="14.25" x14ac:dyDescent="0.2">
      <c r="B66" s="22" t="s">
        <v>54</v>
      </c>
    </row>
    <row r="67" spans="1:12" ht="14.25" x14ac:dyDescent="0.2">
      <c r="B67" s="22" t="s">
        <v>49</v>
      </c>
    </row>
    <row r="68" spans="1:12" x14ac:dyDescent="0.2">
      <c r="B68" s="22" t="s">
        <v>50</v>
      </c>
    </row>
    <row r="69" spans="1:12" ht="14.25" x14ac:dyDescent="0.2">
      <c r="B69" s="22" t="s">
        <v>51</v>
      </c>
    </row>
    <row r="70" spans="1:12" x14ac:dyDescent="0.2">
      <c r="B70" s="22" t="s">
        <v>52</v>
      </c>
    </row>
    <row r="71" spans="1:12" ht="14.25" x14ac:dyDescent="0.2">
      <c r="B71" s="22" t="s">
        <v>53</v>
      </c>
    </row>
    <row r="72" spans="1:12" x14ac:dyDescent="0.2">
      <c r="B72" s="22"/>
    </row>
    <row r="73" spans="1:12" x14ac:dyDescent="0.2">
      <c r="B73" s="31" t="s">
        <v>55</v>
      </c>
    </row>
    <row r="75" spans="1:12" ht="15.75" x14ac:dyDescent="0.2">
      <c r="A75" s="14" t="s">
        <v>5</v>
      </c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1:12" ht="15.75" thickBot="1" x14ac:dyDescent="0.25">
      <c r="B76" s="25" t="s">
        <v>24</v>
      </c>
      <c r="C76" s="27" t="s">
        <v>25</v>
      </c>
      <c r="D76" s="23" t="s">
        <v>26</v>
      </c>
      <c r="E76" s="25" t="s">
        <v>27</v>
      </c>
      <c r="F76" s="23" t="s">
        <v>28</v>
      </c>
      <c r="G76" s="24"/>
      <c r="H76" s="5"/>
      <c r="I76" s="5"/>
      <c r="J76" s="5"/>
      <c r="K76" s="5"/>
      <c r="L76" s="5"/>
    </row>
    <row r="77" spans="1:12" ht="13.5" thickTop="1" x14ac:dyDescent="0.2">
      <c r="B77" s="26" t="s">
        <v>19</v>
      </c>
      <c r="C77" s="28" t="s">
        <v>40</v>
      </c>
      <c r="D77" s="6">
        <v>1.7240999999999999E-8</v>
      </c>
      <c r="E77" s="29" t="s">
        <v>15</v>
      </c>
      <c r="F77" s="13" t="s">
        <v>6</v>
      </c>
      <c r="G77" s="5"/>
      <c r="H77" s="5"/>
      <c r="I77" s="5"/>
      <c r="J77" s="5"/>
      <c r="K77" s="5"/>
      <c r="L77" s="5"/>
    </row>
    <row r="78" spans="1:12" x14ac:dyDescent="0.2">
      <c r="B78" s="26" t="s">
        <v>20</v>
      </c>
      <c r="C78" s="28" t="s">
        <v>37</v>
      </c>
      <c r="D78" s="47">
        <v>0.1</v>
      </c>
      <c r="E78" s="30" t="s">
        <v>16</v>
      </c>
      <c r="F78" s="13" t="s">
        <v>29</v>
      </c>
      <c r="G78" s="5"/>
      <c r="H78" s="5"/>
      <c r="I78" s="5"/>
      <c r="J78" s="5"/>
      <c r="K78" s="5"/>
      <c r="L78" s="5"/>
    </row>
    <row r="79" spans="1:12" x14ac:dyDescent="0.2">
      <c r="B79" s="26" t="s">
        <v>21</v>
      </c>
      <c r="C79" s="28" t="s">
        <v>36</v>
      </c>
      <c r="D79" s="47">
        <f>10+65</f>
        <v>75</v>
      </c>
      <c r="E79" s="30" t="s">
        <v>17</v>
      </c>
      <c r="F79" s="13" t="s">
        <v>30</v>
      </c>
      <c r="G79" s="5"/>
      <c r="H79" s="5"/>
      <c r="I79" s="5"/>
      <c r="J79" s="5"/>
      <c r="K79" s="5"/>
      <c r="L79" s="5"/>
    </row>
    <row r="80" spans="1:12" x14ac:dyDescent="0.2">
      <c r="B80" s="26" t="s">
        <v>22</v>
      </c>
      <c r="C80" s="28" t="s">
        <v>38</v>
      </c>
      <c r="D80" s="47">
        <v>3.9300000000000003E-3</v>
      </c>
      <c r="E80" s="30" t="s">
        <v>41</v>
      </c>
      <c r="F80" s="13" t="s">
        <v>29</v>
      </c>
      <c r="G80" s="5"/>
      <c r="H80" s="5"/>
      <c r="I80" s="5"/>
      <c r="J80" s="5"/>
      <c r="K80" s="5"/>
      <c r="L80" s="5"/>
    </row>
    <row r="81" spans="1:12" x14ac:dyDescent="0.2">
      <c r="B81" s="26" t="s">
        <v>23</v>
      </c>
      <c r="C81" s="28" t="s">
        <v>39</v>
      </c>
      <c r="D81" s="47">
        <v>57</v>
      </c>
      <c r="E81" s="30" t="s">
        <v>18</v>
      </c>
      <c r="F81" s="13" t="s">
        <v>31</v>
      </c>
      <c r="G81" s="5"/>
      <c r="H81" s="5"/>
      <c r="I81" s="5"/>
      <c r="J81" s="5"/>
      <c r="K81" s="5"/>
      <c r="L81" s="5"/>
    </row>
    <row r="82" spans="1:12" x14ac:dyDescent="0.2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1:12" ht="15.75" x14ac:dyDescent="0.2">
      <c r="A83" s="14" t="s">
        <v>7</v>
      </c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1:12" x14ac:dyDescent="0.2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1:12" ht="25.5" x14ac:dyDescent="0.2">
      <c r="B85" s="5"/>
      <c r="C85" s="5"/>
      <c r="D85" s="5"/>
      <c r="E85" s="5"/>
      <c r="F85" s="5"/>
      <c r="G85" s="5"/>
      <c r="H85" s="5"/>
      <c r="I85" s="7" t="s">
        <v>8</v>
      </c>
      <c r="J85" s="8"/>
      <c r="K85" s="7" t="s">
        <v>9</v>
      </c>
      <c r="L85" s="9"/>
    </row>
    <row r="86" spans="1:12" ht="44.25" customHeight="1" thickBot="1" x14ac:dyDescent="0.25">
      <c r="B86" s="17" t="s">
        <v>10</v>
      </c>
      <c r="C86" s="17" t="s">
        <v>11</v>
      </c>
      <c r="D86" s="18" t="s">
        <v>12</v>
      </c>
      <c r="E86" s="18" t="s">
        <v>13</v>
      </c>
      <c r="F86" s="18" t="s">
        <v>14</v>
      </c>
      <c r="G86" s="18" t="str">
        <f>"1 m Cable Resistance (Ω)"&amp;CHAR(10)&amp;"@ "&amp;20&amp;" °C"</f>
        <v>1 m Cable Resistance (Ω)
@ 20 °C</v>
      </c>
      <c r="H86" s="18" t="str">
        <f>"1 m Cable Resistance (Ω)"&amp;CHAR(10)&amp;"@ "&amp;_T&amp;" °C"</f>
        <v>1 m Cable Resistance (Ω)
@ 75 °C</v>
      </c>
      <c r="I86" s="19">
        <v>44</v>
      </c>
      <c r="J86" s="19">
        <v>50</v>
      </c>
      <c r="K86" s="19">
        <f>I86</f>
        <v>44</v>
      </c>
      <c r="L86" s="19">
        <f>_vl1</f>
        <v>50</v>
      </c>
    </row>
    <row r="87" spans="1:12" ht="13.5" thickTop="1" x14ac:dyDescent="0.2">
      <c r="B87" s="11">
        <v>25</v>
      </c>
      <c r="C87" s="11">
        <v>4</v>
      </c>
      <c r="D87" s="11">
        <v>40</v>
      </c>
      <c r="E87" s="54">
        <f>0.127*92^((36-B87)/39)*0.001</f>
        <v>4.5466612199670338E-4</v>
      </c>
      <c r="F87" s="55">
        <f>PI()*(E87/2)^2</f>
        <v>1.6235851560400579E-7</v>
      </c>
      <c r="G87" s="15">
        <f>_ρCu*1/F87</f>
        <v>0.10619091912647802</v>
      </c>
      <c r="H87" s="15">
        <f t="shared" ref="H87:H98" si="0">G87*(1+_kCu*(_T-20))</f>
        <v>0.12914408629566626</v>
      </c>
      <c r="I87" s="15">
        <f t="shared" ref="I87:I98" si="1">D87/_vl0</f>
        <v>0.90909090909090906</v>
      </c>
      <c r="J87" s="15">
        <f t="shared" ref="J87:J98" si="2">D87/_vl1</f>
        <v>0.8</v>
      </c>
      <c r="K87" s="11">
        <f t="shared" ref="K87:K98" si="3">CONVERT((_vS-_vl0-4*I87*_rC)/(2*I87*$H87/$C87),"m","ft")</f>
        <v>706.24487498832934</v>
      </c>
      <c r="L87" s="11">
        <f t="shared" ref="L87:L98" si="4">CONVERT((_vS-_vl0-4*J87*_rC)/(2*J87*$H87/$C87),"m","ft")</f>
        <v>424.25501483111861</v>
      </c>
    </row>
    <row r="88" spans="1:12" x14ac:dyDescent="0.2">
      <c r="B88" s="11">
        <v>25</v>
      </c>
      <c r="C88" s="42">
        <v>4</v>
      </c>
      <c r="D88" s="42">
        <v>70</v>
      </c>
      <c r="E88" s="53">
        <f t="shared" ref="E88:E98" si="5">0.127*92^((36-B88)/39)*0.001</f>
        <v>4.5466612199670338E-4</v>
      </c>
      <c r="F88" s="56">
        <f t="shared" ref="F88:F98" si="6">PI()*(E88/2)^2</f>
        <v>1.6235851560400579E-7</v>
      </c>
      <c r="G88" s="16">
        <f t="shared" ref="G88:G98" si="7">_ρCu*1/F88</f>
        <v>0.10619091912647802</v>
      </c>
      <c r="H88" s="15">
        <f t="shared" si="0"/>
        <v>0.12914408629566626</v>
      </c>
      <c r="I88" s="15">
        <f t="shared" si="1"/>
        <v>1.5909090909090908</v>
      </c>
      <c r="J88" s="15">
        <f t="shared" si="2"/>
        <v>1.4</v>
      </c>
      <c r="K88" s="11">
        <f t="shared" si="3"/>
        <v>394.85838848268367</v>
      </c>
      <c r="L88" s="11">
        <f t="shared" si="4"/>
        <v>233.72132553570611</v>
      </c>
    </row>
    <row r="89" spans="1:12" x14ac:dyDescent="0.2">
      <c r="B89" s="11">
        <v>25</v>
      </c>
      <c r="C89" s="42">
        <v>4</v>
      </c>
      <c r="D89" s="42">
        <v>90</v>
      </c>
      <c r="E89" s="53">
        <f t="shared" si="5"/>
        <v>4.5466612199670338E-4</v>
      </c>
      <c r="F89" s="56">
        <f t="shared" si="6"/>
        <v>1.6235851560400579E-7</v>
      </c>
      <c r="G89" s="16">
        <f t="shared" si="7"/>
        <v>0.10619091912647802</v>
      </c>
      <c r="H89" s="15">
        <f t="shared" si="0"/>
        <v>0.12914408629566626</v>
      </c>
      <c r="I89" s="15">
        <f t="shared" si="1"/>
        <v>2.0454545454545454</v>
      </c>
      <c r="J89" s="15">
        <f t="shared" si="2"/>
        <v>1.8</v>
      </c>
      <c r="K89" s="11">
        <f t="shared" si="3"/>
        <v>302.59572581434418</v>
      </c>
      <c r="L89" s="11">
        <f t="shared" si="4"/>
        <v>177.26689907780607</v>
      </c>
    </row>
    <row r="90" spans="1:12" x14ac:dyDescent="0.2">
      <c r="B90" s="42">
        <v>24</v>
      </c>
      <c r="C90" s="42">
        <v>4</v>
      </c>
      <c r="D90" s="42">
        <v>40</v>
      </c>
      <c r="E90" s="53">
        <f t="shared" si="5"/>
        <v>5.1055922706257236E-4</v>
      </c>
      <c r="F90" s="56">
        <f t="shared" si="6"/>
        <v>2.0473030814712212E-7</v>
      </c>
      <c r="G90" s="16">
        <f t="shared" si="7"/>
        <v>8.4213227421170933E-2</v>
      </c>
      <c r="H90" s="15">
        <f t="shared" si="0"/>
        <v>0.10241591652825703</v>
      </c>
      <c r="I90" s="15">
        <f t="shared" si="1"/>
        <v>0.90909090909090906</v>
      </c>
      <c r="J90" s="15">
        <f t="shared" si="2"/>
        <v>0.8</v>
      </c>
      <c r="K90" s="11">
        <f t="shared" si="3"/>
        <v>890.55834457332901</v>
      </c>
      <c r="L90" s="11">
        <f t="shared" si="4"/>
        <v>534.97569620052491</v>
      </c>
    </row>
    <row r="91" spans="1:12" x14ac:dyDescent="0.2">
      <c r="B91" s="42">
        <v>24</v>
      </c>
      <c r="C91" s="42">
        <v>4</v>
      </c>
      <c r="D91" s="42">
        <v>70</v>
      </c>
      <c r="E91" s="53">
        <f t="shared" si="5"/>
        <v>5.1055922706257236E-4</v>
      </c>
      <c r="F91" s="56">
        <f t="shared" si="6"/>
        <v>2.0473030814712212E-7</v>
      </c>
      <c r="G91" s="16">
        <f t="shared" si="7"/>
        <v>8.4213227421170933E-2</v>
      </c>
      <c r="H91" s="15">
        <f t="shared" si="0"/>
        <v>0.10241591652825703</v>
      </c>
      <c r="I91" s="15">
        <f t="shared" si="1"/>
        <v>1.5909090909090908</v>
      </c>
      <c r="J91" s="15">
        <f t="shared" si="2"/>
        <v>1.4</v>
      </c>
      <c r="K91" s="11">
        <f t="shared" si="3"/>
        <v>497.90723478714398</v>
      </c>
      <c r="L91" s="11">
        <f t="shared" si="4"/>
        <v>294.71715000268449</v>
      </c>
    </row>
    <row r="92" spans="1:12" x14ac:dyDescent="0.2">
      <c r="B92" s="42">
        <v>24</v>
      </c>
      <c r="C92" s="42">
        <v>4</v>
      </c>
      <c r="D92" s="42">
        <v>90</v>
      </c>
      <c r="E92" s="53">
        <f t="shared" si="5"/>
        <v>5.1055922706257236E-4</v>
      </c>
      <c r="F92" s="56">
        <f t="shared" si="6"/>
        <v>2.0473030814712212E-7</v>
      </c>
      <c r="G92" s="16">
        <f t="shared" si="7"/>
        <v>8.4213227421170933E-2</v>
      </c>
      <c r="H92" s="15">
        <f t="shared" si="0"/>
        <v>0.10241591652825703</v>
      </c>
      <c r="I92" s="15">
        <f t="shared" si="1"/>
        <v>2.0454545454545454</v>
      </c>
      <c r="J92" s="15">
        <f t="shared" si="2"/>
        <v>1.8</v>
      </c>
      <c r="K92" s="11">
        <f t="shared" si="3"/>
        <v>381.56616522086682</v>
      </c>
      <c r="L92" s="11">
        <f t="shared" si="4"/>
        <v>223.52943261073167</v>
      </c>
    </row>
    <row r="93" spans="1:12" x14ac:dyDescent="0.2">
      <c r="B93" s="42">
        <v>23</v>
      </c>
      <c r="C93" s="42">
        <v>4</v>
      </c>
      <c r="D93" s="42">
        <v>40</v>
      </c>
      <c r="E93" s="53">
        <f t="shared" si="5"/>
        <v>5.7332339430519823E-4</v>
      </c>
      <c r="F93" s="56">
        <f t="shared" si="6"/>
        <v>2.5816015204429125E-7</v>
      </c>
      <c r="G93" s="16">
        <f t="shared" si="7"/>
        <v>6.6784125526243285E-2</v>
      </c>
      <c r="H93" s="15">
        <f t="shared" si="0"/>
        <v>8.1219514258740771E-2</v>
      </c>
      <c r="I93" s="15">
        <f t="shared" si="1"/>
        <v>0.90909090909090906</v>
      </c>
      <c r="J93" s="15">
        <f t="shared" si="2"/>
        <v>0.8</v>
      </c>
      <c r="K93" s="11">
        <f t="shared" si="3"/>
        <v>1122.9733385354393</v>
      </c>
      <c r="L93" s="11">
        <f t="shared" si="4"/>
        <v>674.59189760941842</v>
      </c>
    </row>
    <row r="94" spans="1:12" x14ac:dyDescent="0.2">
      <c r="B94" s="42">
        <v>23</v>
      </c>
      <c r="C94" s="42">
        <v>4</v>
      </c>
      <c r="D94" s="42">
        <v>70</v>
      </c>
      <c r="E94" s="53">
        <f t="shared" si="5"/>
        <v>5.7332339430519823E-4</v>
      </c>
      <c r="F94" s="56">
        <f t="shared" si="6"/>
        <v>2.5816015204429125E-7</v>
      </c>
      <c r="G94" s="16">
        <f t="shared" si="7"/>
        <v>6.6784125526243285E-2</v>
      </c>
      <c r="H94" s="15">
        <f t="shared" si="0"/>
        <v>8.1219514258740771E-2</v>
      </c>
      <c r="I94" s="15">
        <f t="shared" si="1"/>
        <v>1.5909090909090908</v>
      </c>
      <c r="J94" s="15">
        <f t="shared" si="2"/>
        <v>1.4</v>
      </c>
      <c r="K94" s="11">
        <f t="shared" si="3"/>
        <v>627.84943079473692</v>
      </c>
      <c r="L94" s="11">
        <f t="shared" si="4"/>
        <v>371.63146455129652</v>
      </c>
    </row>
    <row r="95" spans="1:12" x14ac:dyDescent="0.2">
      <c r="B95" s="42">
        <v>23</v>
      </c>
      <c r="C95" s="42">
        <v>4</v>
      </c>
      <c r="D95" s="42">
        <v>90</v>
      </c>
      <c r="E95" s="53">
        <f t="shared" si="5"/>
        <v>5.7332339430519823E-4</v>
      </c>
      <c r="F95" s="56">
        <f t="shared" si="6"/>
        <v>2.5816015204429125E-7</v>
      </c>
      <c r="G95" s="16">
        <f t="shared" si="7"/>
        <v>6.6784125526243285E-2</v>
      </c>
      <c r="H95" s="15">
        <f t="shared" si="0"/>
        <v>8.1219514258740771E-2</v>
      </c>
      <c r="I95" s="15">
        <f t="shared" si="1"/>
        <v>2.0454545454545454</v>
      </c>
      <c r="J95" s="15">
        <f t="shared" si="2"/>
        <v>1.8</v>
      </c>
      <c r="K95" s="11">
        <f t="shared" si="3"/>
        <v>481.1460507234176</v>
      </c>
      <c r="L95" s="11">
        <f t="shared" si="4"/>
        <v>281.86541031185283</v>
      </c>
    </row>
    <row r="96" spans="1:12" x14ac:dyDescent="0.2">
      <c r="B96" s="42">
        <v>18</v>
      </c>
      <c r="C96" s="42">
        <v>1</v>
      </c>
      <c r="D96" s="42">
        <v>40</v>
      </c>
      <c r="E96" s="53">
        <f t="shared" si="5"/>
        <v>1.0236873428326524E-3</v>
      </c>
      <c r="F96" s="56">
        <f t="shared" si="6"/>
        <v>8.2304683373131475E-7</v>
      </c>
      <c r="G96" s="16">
        <f t="shared" si="7"/>
        <v>2.0947775136728557E-2</v>
      </c>
      <c r="H96" s="15">
        <f t="shared" si="0"/>
        <v>2.5475636732532437E-2</v>
      </c>
      <c r="I96" s="15">
        <f t="shared" si="1"/>
        <v>0.90909090909090906</v>
      </c>
      <c r="J96" s="15">
        <f t="shared" si="2"/>
        <v>0.8</v>
      </c>
      <c r="K96" s="11">
        <f t="shared" si="3"/>
        <v>895.04484263677773</v>
      </c>
      <c r="L96" s="11">
        <f t="shared" si="4"/>
        <v>537.67082273504252</v>
      </c>
    </row>
    <row r="97" spans="1:12" x14ac:dyDescent="0.2">
      <c r="B97" s="42">
        <v>18</v>
      </c>
      <c r="C97" s="42">
        <v>1</v>
      </c>
      <c r="D97" s="42">
        <v>70</v>
      </c>
      <c r="E97" s="53">
        <f t="shared" si="5"/>
        <v>1.0236873428326524E-3</v>
      </c>
      <c r="F97" s="56">
        <f t="shared" si="6"/>
        <v>8.2304683373131475E-7</v>
      </c>
      <c r="G97" s="16">
        <f t="shared" si="7"/>
        <v>2.0947775136728557E-2</v>
      </c>
      <c r="H97" s="15">
        <f t="shared" si="0"/>
        <v>2.5475636732532437E-2</v>
      </c>
      <c r="I97" s="15">
        <f t="shared" si="1"/>
        <v>1.5909090909090908</v>
      </c>
      <c r="J97" s="15">
        <f t="shared" si="2"/>
        <v>1.4</v>
      </c>
      <c r="K97" s="11">
        <f t="shared" si="3"/>
        <v>500.41561602713972</v>
      </c>
      <c r="L97" s="11">
        <f t="shared" si="4"/>
        <v>296.20189036900558</v>
      </c>
    </row>
    <row r="98" spans="1:12" x14ac:dyDescent="0.2">
      <c r="B98" s="42">
        <v>18</v>
      </c>
      <c r="C98" s="42">
        <v>1</v>
      </c>
      <c r="D98" s="42">
        <v>90</v>
      </c>
      <c r="E98" s="53">
        <f t="shared" si="5"/>
        <v>1.0236873428326524E-3</v>
      </c>
      <c r="F98" s="56">
        <f t="shared" si="6"/>
        <v>8.2304683373131475E-7</v>
      </c>
      <c r="G98" s="16">
        <f t="shared" si="7"/>
        <v>2.0947775136728557E-2</v>
      </c>
      <c r="H98" s="15">
        <f t="shared" si="0"/>
        <v>2.5475636732532437E-2</v>
      </c>
      <c r="I98" s="15">
        <f t="shared" si="1"/>
        <v>2.0454545454545454</v>
      </c>
      <c r="J98" s="15">
        <f t="shared" si="2"/>
        <v>1.8</v>
      </c>
      <c r="K98" s="11">
        <f t="shared" si="3"/>
        <v>383.48843777243223</v>
      </c>
      <c r="L98" s="11">
        <f t="shared" si="4"/>
        <v>224.65554003832787</v>
      </c>
    </row>
    <row r="99" spans="1:12" x14ac:dyDescent="0.2">
      <c r="B99" s="42">
        <v>20</v>
      </c>
      <c r="C99" s="42">
        <v>1</v>
      </c>
      <c r="D99" s="42">
        <v>40</v>
      </c>
      <c r="E99" s="53">
        <f t="shared" ref="E99:E101" si="8">0.127*92^((36-B99)/39)*0.001</f>
        <v>8.1182097037377395E-4</v>
      </c>
      <c r="F99" s="56">
        <f t="shared" ref="F99:F101" si="9">PI()*(E99/2)^2</f>
        <v>5.1761924192803868E-7</v>
      </c>
      <c r="G99" s="16">
        <f t="shared" ref="G99:G101" si="10">_ρCu*1/F99</f>
        <v>3.330826716522433E-2</v>
      </c>
      <c r="H99" s="15">
        <f t="shared" ref="H99:H101" si="11">G99*(1+_kCu*(_T-20))</f>
        <v>4.0507849112987569E-2</v>
      </c>
      <c r="I99" s="15">
        <f t="shared" ref="I99:I101" si="12">D99/_vl0</f>
        <v>0.90909090909090906</v>
      </c>
      <c r="J99" s="15">
        <f t="shared" ref="J99:J101" si="13">D99/_vl1</f>
        <v>0.8</v>
      </c>
      <c r="K99" s="11">
        <f t="shared" ref="K99:K101" si="14">CONVERT((_vS-_vl0-4*I99*_rC)/(2*I99*$H99/$C99),"m","ft")</f>
        <v>562.89923483077541</v>
      </c>
      <c r="L99" s="11">
        <f t="shared" ref="L99:L101" si="15">CONVERT((_vS-_vl0-4*J99*_rC)/(2*J99*$H99/$C99),"m","ft")</f>
        <v>338.14450437676078</v>
      </c>
    </row>
    <row r="100" spans="1:12" x14ac:dyDescent="0.2">
      <c r="B100" s="42">
        <v>20</v>
      </c>
      <c r="C100" s="42">
        <v>1</v>
      </c>
      <c r="D100" s="42">
        <v>70</v>
      </c>
      <c r="E100" s="53">
        <f t="shared" si="8"/>
        <v>8.1182097037377395E-4</v>
      </c>
      <c r="F100" s="56">
        <f t="shared" si="9"/>
        <v>5.1761924192803868E-7</v>
      </c>
      <c r="G100" s="16">
        <f t="shared" si="10"/>
        <v>3.330826716522433E-2</v>
      </c>
      <c r="H100" s="15">
        <f t="shared" si="11"/>
        <v>4.0507849112987569E-2</v>
      </c>
      <c r="I100" s="15">
        <f t="shared" si="12"/>
        <v>1.5909090909090908</v>
      </c>
      <c r="J100" s="15">
        <f t="shared" si="13"/>
        <v>1.4</v>
      </c>
      <c r="K100" s="11">
        <f t="shared" si="14"/>
        <v>314.71447456109132</v>
      </c>
      <c r="L100" s="11">
        <f t="shared" si="15"/>
        <v>186.28320001594011</v>
      </c>
    </row>
    <row r="101" spans="1:12" x14ac:dyDescent="0.2">
      <c r="B101" s="42">
        <v>20</v>
      </c>
      <c r="C101" s="42">
        <v>1</v>
      </c>
      <c r="D101" s="42">
        <v>90</v>
      </c>
      <c r="E101" s="53">
        <f t="shared" si="8"/>
        <v>8.1182097037377395E-4</v>
      </c>
      <c r="F101" s="56">
        <f t="shared" si="9"/>
        <v>5.1761924192803868E-7</v>
      </c>
      <c r="G101" s="16">
        <f t="shared" si="10"/>
        <v>3.330826716522433E-2</v>
      </c>
      <c r="H101" s="15">
        <f t="shared" si="11"/>
        <v>4.0507849112987569E-2</v>
      </c>
      <c r="I101" s="15">
        <f t="shared" si="12"/>
        <v>2.0454545454545454</v>
      </c>
      <c r="J101" s="15">
        <f t="shared" si="13"/>
        <v>1.8</v>
      </c>
      <c r="K101" s="11">
        <f t="shared" si="14"/>
        <v>241.17824929599973</v>
      </c>
      <c r="L101" s="11">
        <f t="shared" si="15"/>
        <v>141.2872579831043</v>
      </c>
    </row>
    <row r="107" spans="1:12" ht="15.75" x14ac:dyDescent="0.2">
      <c r="A107" s="14" t="s">
        <v>78</v>
      </c>
      <c r="I107" s="41" t="s">
        <v>77</v>
      </c>
    </row>
    <row r="109" spans="1:12" ht="25.5" x14ac:dyDescent="0.2">
      <c r="C109"/>
      <c r="D109"/>
      <c r="E109"/>
      <c r="F109" s="7" t="str">
        <f>K85</f>
        <v>Reach
(ft)</v>
      </c>
      <c r="G109" s="9"/>
    </row>
    <row r="110" spans="1:12" ht="26.25" thickBot="1" x14ac:dyDescent="0.25">
      <c r="B110" s="17" t="s">
        <v>80</v>
      </c>
      <c r="C110" s="17" t="str">
        <f>B86</f>
        <v>AWG</v>
      </c>
      <c r="D110" s="17" t="str">
        <f>C86</f>
        <v>Wire Pairs</v>
      </c>
      <c r="E110" s="18" t="str">
        <f>D86</f>
        <v>Load Power
(W)</v>
      </c>
      <c r="F110" s="19">
        <f>K86</f>
        <v>44</v>
      </c>
      <c r="G110" s="19">
        <f>L86</f>
        <v>50</v>
      </c>
    </row>
    <row r="111" spans="1:12" ht="13.5" thickTop="1" x14ac:dyDescent="0.2">
      <c r="B111" s="10" t="s">
        <v>85</v>
      </c>
      <c r="C111" s="11">
        <f t="shared" ref="C111:E125" si="16">B87</f>
        <v>25</v>
      </c>
      <c r="D111" s="11">
        <f t="shared" si="16"/>
        <v>4</v>
      </c>
      <c r="E111" s="11">
        <f t="shared" si="16"/>
        <v>40</v>
      </c>
      <c r="F111" s="11">
        <f t="shared" ref="F111:F125" si="17">K87</f>
        <v>706.24487498832934</v>
      </c>
      <c r="G111" s="11">
        <f t="shared" ref="G111:G125" si="18">L87</f>
        <v>424.25501483111861</v>
      </c>
    </row>
    <row r="112" spans="1:12" x14ac:dyDescent="0.2">
      <c r="B112" s="10" t="s">
        <v>85</v>
      </c>
      <c r="C112" s="11">
        <f t="shared" si="16"/>
        <v>25</v>
      </c>
      <c r="D112" s="42">
        <f t="shared" si="16"/>
        <v>4</v>
      </c>
      <c r="E112" s="42">
        <f t="shared" si="16"/>
        <v>70</v>
      </c>
      <c r="F112" s="11">
        <f t="shared" si="17"/>
        <v>394.85838848268367</v>
      </c>
      <c r="G112" s="11">
        <f t="shared" si="18"/>
        <v>233.72132553570611</v>
      </c>
    </row>
    <row r="113" spans="2:7" x14ac:dyDescent="0.2">
      <c r="B113" s="10" t="s">
        <v>85</v>
      </c>
      <c r="C113" s="11">
        <f t="shared" si="16"/>
        <v>25</v>
      </c>
      <c r="D113" s="42">
        <f t="shared" si="16"/>
        <v>4</v>
      </c>
      <c r="E113" s="42">
        <f t="shared" si="16"/>
        <v>90</v>
      </c>
      <c r="F113" s="11">
        <f t="shared" si="17"/>
        <v>302.59572581434418</v>
      </c>
      <c r="G113" s="11">
        <f t="shared" si="18"/>
        <v>177.26689907780607</v>
      </c>
    </row>
    <row r="114" spans="2:7" x14ac:dyDescent="0.2">
      <c r="B114" s="12" t="s">
        <v>81</v>
      </c>
      <c r="C114" s="42">
        <f t="shared" si="16"/>
        <v>24</v>
      </c>
      <c r="D114" s="42">
        <f t="shared" si="16"/>
        <v>4</v>
      </c>
      <c r="E114" s="42">
        <f t="shared" si="16"/>
        <v>40</v>
      </c>
      <c r="F114" s="11">
        <f t="shared" si="17"/>
        <v>890.55834457332901</v>
      </c>
      <c r="G114" s="11">
        <f t="shared" si="18"/>
        <v>534.97569620052491</v>
      </c>
    </row>
    <row r="115" spans="2:7" x14ac:dyDescent="0.2">
      <c r="B115" s="12" t="s">
        <v>81</v>
      </c>
      <c r="C115" s="42">
        <f t="shared" si="16"/>
        <v>24</v>
      </c>
      <c r="D115" s="42">
        <f t="shared" si="16"/>
        <v>4</v>
      </c>
      <c r="E115" s="42">
        <f t="shared" si="16"/>
        <v>70</v>
      </c>
      <c r="F115" s="11">
        <f t="shared" si="17"/>
        <v>497.90723478714398</v>
      </c>
      <c r="G115" s="11">
        <f t="shared" si="18"/>
        <v>294.71715000268449</v>
      </c>
    </row>
    <row r="116" spans="2:7" x14ac:dyDescent="0.2">
      <c r="B116" s="12" t="s">
        <v>81</v>
      </c>
      <c r="C116" s="42">
        <f t="shared" si="16"/>
        <v>24</v>
      </c>
      <c r="D116" s="42">
        <f t="shared" si="16"/>
        <v>4</v>
      </c>
      <c r="E116" s="42">
        <f t="shared" si="16"/>
        <v>90</v>
      </c>
      <c r="F116" s="11">
        <f t="shared" si="17"/>
        <v>381.56616522086682</v>
      </c>
      <c r="G116" s="11">
        <f t="shared" si="18"/>
        <v>223.52943261073167</v>
      </c>
    </row>
    <row r="117" spans="2:7" x14ac:dyDescent="0.2">
      <c r="B117" s="12" t="s">
        <v>82</v>
      </c>
      <c r="C117" s="42">
        <f t="shared" si="16"/>
        <v>23</v>
      </c>
      <c r="D117" s="42">
        <f t="shared" si="16"/>
        <v>4</v>
      </c>
      <c r="E117" s="42">
        <f t="shared" si="16"/>
        <v>40</v>
      </c>
      <c r="F117" s="11">
        <f t="shared" si="17"/>
        <v>1122.9733385354393</v>
      </c>
      <c r="G117" s="11">
        <f t="shared" si="18"/>
        <v>674.59189760941842</v>
      </c>
    </row>
    <row r="118" spans="2:7" x14ac:dyDescent="0.2">
      <c r="B118" s="12" t="s">
        <v>82</v>
      </c>
      <c r="C118" s="42">
        <f t="shared" si="16"/>
        <v>23</v>
      </c>
      <c r="D118" s="42">
        <f t="shared" si="16"/>
        <v>4</v>
      </c>
      <c r="E118" s="42">
        <f t="shared" si="16"/>
        <v>70</v>
      </c>
      <c r="F118" s="11">
        <f t="shared" si="17"/>
        <v>627.84943079473692</v>
      </c>
      <c r="G118" s="11">
        <f t="shared" si="18"/>
        <v>371.63146455129652</v>
      </c>
    </row>
    <row r="119" spans="2:7" x14ac:dyDescent="0.2">
      <c r="B119" s="12" t="s">
        <v>82</v>
      </c>
      <c r="C119" s="42">
        <f t="shared" si="16"/>
        <v>23</v>
      </c>
      <c r="D119" s="42">
        <f t="shared" si="16"/>
        <v>4</v>
      </c>
      <c r="E119" s="42">
        <f t="shared" si="16"/>
        <v>90</v>
      </c>
      <c r="F119" s="11">
        <f t="shared" si="17"/>
        <v>481.1460507234176</v>
      </c>
      <c r="G119" s="11">
        <f t="shared" si="18"/>
        <v>281.86541031185283</v>
      </c>
    </row>
    <row r="120" spans="2:7" x14ac:dyDescent="0.2">
      <c r="B120" s="12" t="s">
        <v>83</v>
      </c>
      <c r="C120" s="42">
        <f t="shared" si="16"/>
        <v>18</v>
      </c>
      <c r="D120" s="42">
        <f t="shared" si="16"/>
        <v>1</v>
      </c>
      <c r="E120" s="42">
        <f t="shared" si="16"/>
        <v>40</v>
      </c>
      <c r="F120" s="11">
        <f t="shared" si="17"/>
        <v>895.04484263677773</v>
      </c>
      <c r="G120" s="11">
        <f t="shared" si="18"/>
        <v>537.67082273504252</v>
      </c>
    </row>
    <row r="121" spans="2:7" x14ac:dyDescent="0.2">
      <c r="B121" s="12" t="s">
        <v>83</v>
      </c>
      <c r="C121" s="42">
        <f t="shared" si="16"/>
        <v>18</v>
      </c>
      <c r="D121" s="42">
        <f t="shared" si="16"/>
        <v>1</v>
      </c>
      <c r="E121" s="42">
        <f t="shared" si="16"/>
        <v>70</v>
      </c>
      <c r="F121" s="11">
        <f t="shared" si="17"/>
        <v>500.41561602713972</v>
      </c>
      <c r="G121" s="11">
        <f t="shared" si="18"/>
        <v>296.20189036900558</v>
      </c>
    </row>
    <row r="122" spans="2:7" x14ac:dyDescent="0.2">
      <c r="B122" s="12" t="s">
        <v>83</v>
      </c>
      <c r="C122" s="42">
        <f t="shared" si="16"/>
        <v>18</v>
      </c>
      <c r="D122" s="42">
        <f t="shared" si="16"/>
        <v>1</v>
      </c>
      <c r="E122" s="42">
        <f t="shared" si="16"/>
        <v>90</v>
      </c>
      <c r="F122" s="11">
        <f t="shared" si="17"/>
        <v>383.48843777243223</v>
      </c>
      <c r="G122" s="11">
        <f t="shared" si="18"/>
        <v>224.65554003832787</v>
      </c>
    </row>
    <row r="123" spans="2:7" x14ac:dyDescent="0.2">
      <c r="B123" s="12" t="s">
        <v>83</v>
      </c>
      <c r="C123" s="42">
        <f t="shared" si="16"/>
        <v>20</v>
      </c>
      <c r="D123" s="42">
        <f t="shared" si="16"/>
        <v>1</v>
      </c>
      <c r="E123" s="42">
        <f t="shared" si="16"/>
        <v>40</v>
      </c>
      <c r="F123" s="11">
        <f t="shared" si="17"/>
        <v>562.89923483077541</v>
      </c>
      <c r="G123" s="11">
        <f t="shared" si="18"/>
        <v>338.14450437676078</v>
      </c>
    </row>
    <row r="124" spans="2:7" x14ac:dyDescent="0.2">
      <c r="B124" s="12" t="s">
        <v>83</v>
      </c>
      <c r="C124" s="42">
        <f t="shared" si="16"/>
        <v>20</v>
      </c>
      <c r="D124" s="42">
        <f t="shared" si="16"/>
        <v>1</v>
      </c>
      <c r="E124" s="42">
        <f t="shared" si="16"/>
        <v>70</v>
      </c>
      <c r="F124" s="11">
        <f t="shared" si="17"/>
        <v>314.71447456109132</v>
      </c>
      <c r="G124" s="11">
        <f t="shared" si="18"/>
        <v>186.28320001594011</v>
      </c>
    </row>
    <row r="125" spans="2:7" x14ac:dyDescent="0.2">
      <c r="B125" s="12" t="s">
        <v>83</v>
      </c>
      <c r="C125" s="42">
        <f t="shared" si="16"/>
        <v>20</v>
      </c>
      <c r="D125" s="42">
        <f t="shared" si="16"/>
        <v>1</v>
      </c>
      <c r="E125" s="42">
        <f t="shared" si="16"/>
        <v>90</v>
      </c>
      <c r="F125" s="11">
        <f t="shared" si="17"/>
        <v>241.17824929599973</v>
      </c>
      <c r="G125" s="11">
        <f t="shared" si="18"/>
        <v>141.2872579831043</v>
      </c>
    </row>
  </sheetData>
  <conditionalFormatting sqref="F111:G125 E87:L101">
    <cfRule type="expression" dxfId="11" priority="9">
      <formula>MOD(ROW(),2)</formula>
    </cfRule>
  </conditionalFormatting>
  <conditionalFormatting sqref="B111:B125">
    <cfRule type="expression" dxfId="10" priority="5">
      <formula>MOD(ROW(),2)</formula>
    </cfRule>
  </conditionalFormatting>
  <conditionalFormatting sqref="C111:E119 D120:E125">
    <cfRule type="expression" dxfId="9" priority="4">
      <formula>MOD(ROW(),2)</formula>
    </cfRule>
  </conditionalFormatting>
  <conditionalFormatting sqref="C120:C125">
    <cfRule type="expression" dxfId="8" priority="3">
      <formula>MOD(ROW(),2)</formula>
    </cfRule>
  </conditionalFormatting>
  <conditionalFormatting sqref="B87:D95 C96:D101">
    <cfRule type="expression" dxfId="7" priority="2">
      <formula>MOD(ROW(),2)</formula>
    </cfRule>
  </conditionalFormatting>
  <conditionalFormatting sqref="B96:B101">
    <cfRule type="expression" dxfId="6" priority="1">
      <formula>MOD(ROW(),2)</formula>
    </cfRule>
  </conditionalFormatting>
  <pageMargins left="0.7" right="0.7" top="0.75" bottom="0.75" header="0.3" footer="0.3"/>
  <pageSetup scale="45" fitToHeight="0" orientation="portrait" r:id="rId1"/>
  <headerFooter>
    <oddHeader>&amp;L&amp;"Palatino Linotype"Wire Reach Table&amp;R&amp;"Palatino Linotype"BiegertStandard.xltx</oddHeader>
    <oddFooter>&amp;L&amp;"Palatino Linotype"Wire Reach Table&amp;C&amp;"Palatino Linotype"Page &amp;P of &amp;N&amp;R&amp;"Palatino Linotype"Sheet Name: Reach</oddFooter>
  </headerFooter>
  <rowBreaks count="1" manualBreakCount="1">
    <brk id="82" max="16383" man="1"/>
  </rowBreaks>
  <drawing r:id="rId2"/>
  <legacyDrawing r:id="rId3"/>
  <oleObjects>
    <mc:AlternateContent xmlns:mc="http://schemas.openxmlformats.org/markup-compatibility/2006">
      <mc:Choice Requires="x14">
        <oleObject progId="Equation.DSMT4" shapeId="1028" r:id="rId4">
          <objectPr defaultSize="0" r:id="rId5">
            <anchor moveWithCells="1">
              <from>
                <xdr:col>1</xdr:col>
                <xdr:colOff>28575</xdr:colOff>
                <xdr:row>32</xdr:row>
                <xdr:rowOff>47625</xdr:rowOff>
              </from>
              <to>
                <xdr:col>7</xdr:col>
                <xdr:colOff>142875</xdr:colOff>
                <xdr:row>57</xdr:row>
                <xdr:rowOff>66675</xdr:rowOff>
              </to>
            </anchor>
          </objectPr>
        </oleObject>
      </mc:Choice>
      <mc:Fallback>
        <oleObject progId="Equation.DSMT4" shapeId="1028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L49"/>
  <sheetViews>
    <sheetView showGridLines="0" topLeftCell="A25" zoomScaleNormal="100" workbookViewId="0">
      <selection activeCell="B49" sqref="B49"/>
    </sheetView>
  </sheetViews>
  <sheetFormatPr defaultRowHeight="12.75" x14ac:dyDescent="0.2"/>
  <cols>
    <col min="1" max="1" width="9.140625" style="3"/>
    <col min="2" max="2" width="31.42578125" style="3" customWidth="1"/>
    <col min="3" max="3" width="17.140625" style="3" customWidth="1"/>
    <col min="4" max="4" width="11" style="3" customWidth="1"/>
    <col min="5" max="5" width="12" style="3" customWidth="1"/>
    <col min="6" max="6" width="17" style="3" customWidth="1"/>
    <col min="7" max="7" width="15.140625" style="3" hidden="1" customWidth="1"/>
    <col min="8" max="9" width="15.140625" style="3" customWidth="1"/>
    <col min="10" max="12" width="10" style="3" customWidth="1"/>
    <col min="13" max="17" width="12" style="3" customWidth="1"/>
    <col min="18" max="16384" width="9.140625" style="3"/>
  </cols>
  <sheetData>
    <row r="1" spans="1:12" x14ac:dyDescent="0.2">
      <c r="A1" s="1" t="s">
        <v>0</v>
      </c>
      <c r="B1" s="2" t="s">
        <v>3</v>
      </c>
      <c r="C1" s="20"/>
      <c r="D1" s="20"/>
    </row>
    <row r="2" spans="1:12" x14ac:dyDescent="0.2">
      <c r="A2" s="1" t="s">
        <v>1</v>
      </c>
      <c r="B2" s="2" t="s">
        <v>4</v>
      </c>
      <c r="C2" s="20"/>
      <c r="D2" s="20"/>
    </row>
    <row r="3" spans="1:12" x14ac:dyDescent="0.2">
      <c r="A3" s="1" t="s">
        <v>2</v>
      </c>
      <c r="B3" s="4">
        <v>42701</v>
      </c>
      <c r="C3" s="20"/>
      <c r="D3" s="20"/>
    </row>
    <row r="6" spans="1:12" ht="15.75" x14ac:dyDescent="0.2">
      <c r="A6" s="14" t="s">
        <v>5</v>
      </c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ht="15.75" thickBot="1" x14ac:dyDescent="0.25">
      <c r="B7" s="25" t="s">
        <v>24</v>
      </c>
      <c r="C7" s="27" t="s">
        <v>25</v>
      </c>
      <c r="D7" s="23" t="s">
        <v>26</v>
      </c>
      <c r="E7" s="25" t="s">
        <v>27</v>
      </c>
      <c r="F7" s="23" t="s">
        <v>28</v>
      </c>
      <c r="G7" s="24"/>
      <c r="H7" s="24"/>
      <c r="I7" s="5"/>
      <c r="J7" s="5"/>
      <c r="K7" s="5"/>
      <c r="L7" s="5"/>
    </row>
    <row r="8" spans="1:12" ht="13.5" thickTop="1" x14ac:dyDescent="0.2">
      <c r="B8" s="26" t="s">
        <v>19</v>
      </c>
      <c r="C8" s="28" t="s">
        <v>40</v>
      </c>
      <c r="D8" s="6">
        <v>1.7240999999999999E-8</v>
      </c>
      <c r="E8" s="29" t="s">
        <v>15</v>
      </c>
      <c r="F8" s="13" t="s">
        <v>6</v>
      </c>
      <c r="G8" s="5"/>
      <c r="H8" s="5"/>
      <c r="I8" s="5"/>
      <c r="J8" s="5"/>
      <c r="K8" s="5"/>
      <c r="L8" s="5"/>
    </row>
    <row r="9" spans="1:12" x14ac:dyDescent="0.2">
      <c r="B9" s="26" t="s">
        <v>20</v>
      </c>
      <c r="C9" s="28" t="s">
        <v>37</v>
      </c>
      <c r="D9" s="47">
        <v>0.1</v>
      </c>
      <c r="E9" s="30" t="s">
        <v>16</v>
      </c>
      <c r="F9" s="13" t="s">
        <v>29</v>
      </c>
      <c r="G9" s="5"/>
      <c r="H9" s="5"/>
      <c r="I9" s="5"/>
      <c r="J9" s="5"/>
      <c r="K9" s="5"/>
      <c r="L9" s="5"/>
    </row>
    <row r="10" spans="1:12" x14ac:dyDescent="0.2">
      <c r="B10" s="26" t="s">
        <v>21</v>
      </c>
      <c r="C10" s="28" t="s">
        <v>36</v>
      </c>
      <c r="D10" s="47">
        <f>10+65</f>
        <v>75</v>
      </c>
      <c r="E10" s="30" t="s">
        <v>17</v>
      </c>
      <c r="F10" s="13" t="s">
        <v>30</v>
      </c>
      <c r="G10" s="5"/>
      <c r="H10" s="5"/>
      <c r="I10" s="5"/>
      <c r="J10" s="5"/>
      <c r="K10" s="5"/>
      <c r="L10" s="5"/>
    </row>
    <row r="11" spans="1:12" x14ac:dyDescent="0.2">
      <c r="B11" s="26" t="s">
        <v>22</v>
      </c>
      <c r="C11" s="28" t="s">
        <v>38</v>
      </c>
      <c r="D11" s="50">
        <v>3.9300000000000003E-3</v>
      </c>
      <c r="E11" s="30" t="s">
        <v>41</v>
      </c>
      <c r="F11" s="13" t="s">
        <v>29</v>
      </c>
      <c r="G11" s="5"/>
      <c r="H11" s="5"/>
      <c r="I11" s="5"/>
      <c r="J11" s="5"/>
      <c r="K11" s="5"/>
      <c r="L11" s="5"/>
    </row>
    <row r="12" spans="1:12" x14ac:dyDescent="0.2">
      <c r="B12" s="26" t="s">
        <v>23</v>
      </c>
      <c r="C12" s="28" t="s">
        <v>39</v>
      </c>
      <c r="D12" s="47">
        <v>57</v>
      </c>
      <c r="E12" s="30" t="s">
        <v>18</v>
      </c>
      <c r="F12" s="13" t="s">
        <v>31</v>
      </c>
      <c r="G12" s="5"/>
      <c r="H12" s="5"/>
      <c r="I12" s="5"/>
      <c r="J12" s="5"/>
      <c r="K12" s="5"/>
      <c r="L12" s="5"/>
    </row>
    <row r="13" spans="1:12" x14ac:dyDescent="0.2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</row>
    <row r="14" spans="1:12" ht="15.75" x14ac:dyDescent="0.2">
      <c r="A14" s="14" t="s">
        <v>56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x14ac:dyDescent="0.2">
      <c r="B15" s="32" t="s">
        <v>63</v>
      </c>
      <c r="C15" s="48">
        <f>INDEX($D$35:$D$49,C27)</f>
        <v>20</v>
      </c>
      <c r="D15" s="5" t="s">
        <v>10</v>
      </c>
      <c r="E15" s="5"/>
      <c r="F15" s="5"/>
      <c r="G15" s="5"/>
      <c r="H15" s="5"/>
      <c r="I15" s="5"/>
      <c r="J15" s="5"/>
      <c r="K15" s="5"/>
      <c r="L15" s="5"/>
    </row>
    <row r="16" spans="1:12" x14ac:dyDescent="0.2">
      <c r="B16" s="32" t="s">
        <v>66</v>
      </c>
      <c r="C16" s="48">
        <f>INDEX($E$35:$E$49,C27)</f>
        <v>1</v>
      </c>
      <c r="D16" s="5"/>
      <c r="E16" s="5"/>
      <c r="F16" s="5"/>
      <c r="G16" s="5"/>
      <c r="H16" s="5"/>
      <c r="I16" s="5"/>
      <c r="J16" s="5"/>
      <c r="K16" s="5"/>
      <c r="L16" s="5"/>
    </row>
    <row r="17" spans="1:12" x14ac:dyDescent="0.2">
      <c r="B17" s="5" t="s">
        <v>59</v>
      </c>
      <c r="C17" s="48">
        <f>INDEX($F$35:$F$49,C27)</f>
        <v>70</v>
      </c>
      <c r="D17" s="5" t="s">
        <v>86</v>
      </c>
      <c r="E17" s="5"/>
      <c r="F17" s="5"/>
      <c r="G17" s="5"/>
      <c r="H17" s="5"/>
      <c r="I17" s="5"/>
      <c r="J17" s="5"/>
      <c r="K17" s="5"/>
      <c r="L17" s="5"/>
    </row>
    <row r="18" spans="1:12" x14ac:dyDescent="0.2">
      <c r="B18" s="5" t="s">
        <v>58</v>
      </c>
      <c r="C18" s="48">
        <f>INDEX($H$33:$I$33,1,C28)</f>
        <v>50</v>
      </c>
      <c r="D18" s="5" t="s">
        <v>18</v>
      </c>
      <c r="E18" s="5"/>
      <c r="F18" s="5"/>
      <c r="G18" s="5"/>
      <c r="H18" s="5"/>
      <c r="I18" s="5"/>
      <c r="J18" s="5"/>
      <c r="K18" s="5"/>
      <c r="L18" s="5"/>
    </row>
    <row r="19" spans="1:12" x14ac:dyDescent="0.2">
      <c r="B19" s="5" t="s">
        <v>57</v>
      </c>
      <c r="C19" s="47">
        <f>_P/_vL</f>
        <v>1.4</v>
      </c>
      <c r="D19" s="5" t="s">
        <v>73</v>
      </c>
      <c r="E19" s="5"/>
      <c r="F19" s="5"/>
      <c r="G19" s="5"/>
      <c r="H19" s="5"/>
      <c r="I19" s="5"/>
      <c r="J19" s="5"/>
      <c r="K19" s="5"/>
      <c r="L19" s="5"/>
    </row>
    <row r="20" spans="1:12" x14ac:dyDescent="0.2">
      <c r="B20" s="5" t="s">
        <v>61</v>
      </c>
      <c r="C20" s="58">
        <f>0.127*92^((36-_n)/39)*0.001</f>
        <v>8.1182097037377395E-4</v>
      </c>
      <c r="D20" s="5" t="s">
        <v>71</v>
      </c>
      <c r="E20" s="5"/>
      <c r="F20" s="5"/>
      <c r="G20" s="5"/>
      <c r="H20" s="5"/>
      <c r="I20" s="5"/>
      <c r="J20" s="5"/>
      <c r="K20" s="5"/>
      <c r="L20" s="5"/>
    </row>
    <row r="21" spans="1:12" ht="14.25" x14ac:dyDescent="0.2">
      <c r="B21" s="5" t="s">
        <v>64</v>
      </c>
      <c r="C21" s="57">
        <f>PI()*(C20/2)^2</f>
        <v>5.1761924192803868E-7</v>
      </c>
      <c r="D21" s="5" t="s">
        <v>72</v>
      </c>
      <c r="E21" s="5"/>
      <c r="F21" s="5"/>
      <c r="G21" s="5"/>
      <c r="H21" s="5"/>
      <c r="I21" s="5"/>
      <c r="J21" s="5"/>
      <c r="K21" s="5"/>
      <c r="L21" s="5"/>
    </row>
    <row r="22" spans="1:12" x14ac:dyDescent="0.2">
      <c r="B22" s="5" t="s">
        <v>60</v>
      </c>
      <c r="C22" s="49">
        <f>_ρCu/(_A)*(1+(_T-20)*_kCu)</f>
        <v>4.0507849112987569E-2</v>
      </c>
      <c r="D22" s="5" t="s">
        <v>70</v>
      </c>
      <c r="E22" s="5"/>
      <c r="F22" s="5"/>
      <c r="G22" s="5"/>
      <c r="H22" s="5"/>
      <c r="I22" s="5"/>
      <c r="J22" s="5"/>
      <c r="K22" s="5"/>
      <c r="L22" s="5"/>
    </row>
    <row r="23" spans="1:12" ht="15" x14ac:dyDescent="0.25">
      <c r="B23" s="5" t="s">
        <v>65</v>
      </c>
      <c r="C23" s="37">
        <f>CONVERT((D12-C18-C19*_rC*4)/(2*C22/C16*C19),"m","ft")</f>
        <v>186.28320001594011</v>
      </c>
      <c r="D23" s="5" t="s">
        <v>69</v>
      </c>
      <c r="E23" s="38" t="s">
        <v>74</v>
      </c>
      <c r="F23" s="5"/>
      <c r="G23" s="5"/>
      <c r="H23" s="5"/>
      <c r="I23" s="5"/>
      <c r="J23" s="5"/>
      <c r="K23" s="5"/>
      <c r="L23" s="5"/>
    </row>
    <row r="24" spans="1:12" x14ac:dyDescent="0.2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</row>
    <row r="25" spans="1:12" x14ac:dyDescent="0.2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</row>
    <row r="26" spans="1:12" x14ac:dyDescent="0.2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</row>
    <row r="27" spans="1:12" ht="15" x14ac:dyDescent="0.25">
      <c r="B27" s="5" t="s">
        <v>67</v>
      </c>
      <c r="C27" s="5">
        <v>14</v>
      </c>
      <c r="D27" s="38" t="s">
        <v>75</v>
      </c>
      <c r="E27" s="5"/>
      <c r="F27" s="5"/>
      <c r="G27" s="5"/>
      <c r="H27" s="5"/>
      <c r="I27" s="5"/>
      <c r="J27" s="5"/>
      <c r="K27" s="5"/>
      <c r="L27" s="5"/>
    </row>
    <row r="28" spans="1:12" ht="15" x14ac:dyDescent="0.25">
      <c r="B28" s="5" t="s">
        <v>68</v>
      </c>
      <c r="C28" s="5">
        <v>2</v>
      </c>
      <c r="D28" s="38" t="s">
        <v>76</v>
      </c>
      <c r="E28" s="5"/>
      <c r="F28" s="5"/>
      <c r="G28" s="5"/>
      <c r="H28" s="5"/>
      <c r="I28" s="5"/>
      <c r="J28" s="5"/>
      <c r="K28" s="5"/>
      <c r="L28" s="5"/>
    </row>
    <row r="31" spans="1:12" ht="15.75" x14ac:dyDescent="0.2">
      <c r="A31" s="14" t="s">
        <v>32</v>
      </c>
    </row>
    <row r="32" spans="1:12" ht="25.5" x14ac:dyDescent="0.2">
      <c r="B32" s="39" t="s">
        <v>79</v>
      </c>
      <c r="H32" s="7" t="s">
        <v>9</v>
      </c>
      <c r="I32" s="9"/>
    </row>
    <row r="33" spans="3:10" ht="26.25" thickBot="1" x14ac:dyDescent="0.25">
      <c r="C33" s="51" t="s">
        <v>80</v>
      </c>
      <c r="D33" s="51" t="s">
        <v>10</v>
      </c>
      <c r="E33" s="51" t="s">
        <v>11</v>
      </c>
      <c r="F33" s="52" t="s">
        <v>12</v>
      </c>
      <c r="G33" s="52" t="s">
        <v>84</v>
      </c>
      <c r="H33" s="19">
        <v>44</v>
      </c>
      <c r="I33" s="19">
        <v>50</v>
      </c>
    </row>
    <row r="34" spans="3:10" ht="14.25" hidden="1" thickTop="1" thickBot="1" x14ac:dyDescent="0.25">
      <c r="C34" s="35"/>
      <c r="D34" s="35"/>
      <c r="E34" s="35"/>
      <c r="F34" s="36"/>
      <c r="G34" s="40">
        <f>C23</f>
        <v>186.28320001594011</v>
      </c>
      <c r="H34" s="33">
        <v>1</v>
      </c>
      <c r="I34" s="34">
        <v>2</v>
      </c>
      <c r="J34" s="3" t="s">
        <v>62</v>
      </c>
    </row>
    <row r="35" spans="3:10" ht="13.5" thickTop="1" x14ac:dyDescent="0.2">
      <c r="C35" s="10" t="s">
        <v>85</v>
      </c>
      <c r="D35" s="11">
        <v>25</v>
      </c>
      <c r="E35" s="11">
        <v>4</v>
      </c>
      <c r="F35" s="11">
        <v>40</v>
      </c>
      <c r="G35" s="10">
        <v>1</v>
      </c>
      <c r="H35" s="11">
        <f t="dataTable" ref="H35:I49" dt2D="1" dtr="1" r1="C28" r2="C27"/>
        <v>706.24487498832934</v>
      </c>
      <c r="I35" s="11">
        <v>424.25501483111861</v>
      </c>
    </row>
    <row r="36" spans="3:10" x14ac:dyDescent="0.2">
      <c r="C36" s="10" t="s">
        <v>85</v>
      </c>
      <c r="D36" s="11">
        <v>25</v>
      </c>
      <c r="E36" s="42">
        <v>4</v>
      </c>
      <c r="F36" s="42">
        <v>70</v>
      </c>
      <c r="G36" s="10">
        <v>2</v>
      </c>
      <c r="H36" s="11">
        <v>394.85838848268367</v>
      </c>
      <c r="I36" s="11">
        <v>233.72132553570611</v>
      </c>
    </row>
    <row r="37" spans="3:10" x14ac:dyDescent="0.2">
      <c r="C37" s="10" t="s">
        <v>85</v>
      </c>
      <c r="D37" s="11">
        <v>25</v>
      </c>
      <c r="E37" s="42">
        <v>4</v>
      </c>
      <c r="F37" s="42">
        <v>90</v>
      </c>
      <c r="G37" s="10">
        <v>3</v>
      </c>
      <c r="H37" s="11">
        <v>302.59572581434418</v>
      </c>
      <c r="I37" s="11">
        <v>177.26689907780607</v>
      </c>
    </row>
    <row r="38" spans="3:10" x14ac:dyDescent="0.2">
      <c r="C38" s="12" t="s">
        <v>81</v>
      </c>
      <c r="D38" s="42">
        <v>24</v>
      </c>
      <c r="E38" s="42">
        <v>4</v>
      </c>
      <c r="F38" s="42">
        <v>40</v>
      </c>
      <c r="G38" s="10">
        <v>4</v>
      </c>
      <c r="H38" s="11">
        <v>890.55834457332901</v>
      </c>
      <c r="I38" s="11">
        <v>534.97569620052491</v>
      </c>
    </row>
    <row r="39" spans="3:10" x14ac:dyDescent="0.2">
      <c r="C39" s="12" t="s">
        <v>81</v>
      </c>
      <c r="D39" s="42">
        <v>24</v>
      </c>
      <c r="E39" s="42">
        <v>4</v>
      </c>
      <c r="F39" s="42">
        <v>70</v>
      </c>
      <c r="G39" s="10">
        <v>5</v>
      </c>
      <c r="H39" s="11">
        <v>497.90723478714398</v>
      </c>
      <c r="I39" s="11">
        <v>294.71715000268449</v>
      </c>
    </row>
    <row r="40" spans="3:10" x14ac:dyDescent="0.2">
      <c r="C40" s="12" t="s">
        <v>81</v>
      </c>
      <c r="D40" s="42">
        <v>24</v>
      </c>
      <c r="E40" s="42">
        <v>4</v>
      </c>
      <c r="F40" s="42">
        <v>90</v>
      </c>
      <c r="G40" s="10">
        <v>6</v>
      </c>
      <c r="H40" s="11">
        <v>381.56616522086682</v>
      </c>
      <c r="I40" s="11">
        <v>223.52943261073167</v>
      </c>
    </row>
    <row r="41" spans="3:10" x14ac:dyDescent="0.2">
      <c r="C41" s="12" t="s">
        <v>82</v>
      </c>
      <c r="D41" s="42">
        <v>23</v>
      </c>
      <c r="E41" s="42">
        <v>4</v>
      </c>
      <c r="F41" s="42">
        <v>40</v>
      </c>
      <c r="G41" s="10">
        <v>7</v>
      </c>
      <c r="H41" s="11">
        <v>1122.9733385354393</v>
      </c>
      <c r="I41" s="11">
        <v>674.59189760941842</v>
      </c>
    </row>
    <row r="42" spans="3:10" x14ac:dyDescent="0.2">
      <c r="C42" s="12" t="s">
        <v>82</v>
      </c>
      <c r="D42" s="42">
        <v>23</v>
      </c>
      <c r="E42" s="42">
        <v>4</v>
      </c>
      <c r="F42" s="42">
        <v>70</v>
      </c>
      <c r="G42" s="10">
        <v>8</v>
      </c>
      <c r="H42" s="11">
        <v>627.84943079473692</v>
      </c>
      <c r="I42" s="11">
        <v>371.63146455129652</v>
      </c>
    </row>
    <row r="43" spans="3:10" x14ac:dyDescent="0.2">
      <c r="C43" s="12" t="s">
        <v>82</v>
      </c>
      <c r="D43" s="42">
        <v>23</v>
      </c>
      <c r="E43" s="42">
        <v>4</v>
      </c>
      <c r="F43" s="42">
        <v>90</v>
      </c>
      <c r="G43" s="10">
        <v>9</v>
      </c>
      <c r="H43" s="11">
        <v>481.1460507234176</v>
      </c>
      <c r="I43" s="11">
        <v>281.86541031185283</v>
      </c>
    </row>
    <row r="44" spans="3:10" x14ac:dyDescent="0.2">
      <c r="C44" s="12" t="s">
        <v>83</v>
      </c>
      <c r="D44" s="42">
        <v>18</v>
      </c>
      <c r="E44" s="42">
        <v>1</v>
      </c>
      <c r="F44" s="42">
        <v>40</v>
      </c>
      <c r="G44" s="10">
        <v>10</v>
      </c>
      <c r="H44" s="11">
        <v>895.04484263677773</v>
      </c>
      <c r="I44" s="11">
        <v>537.67082273504252</v>
      </c>
    </row>
    <row r="45" spans="3:10" x14ac:dyDescent="0.2">
      <c r="C45" s="12" t="s">
        <v>83</v>
      </c>
      <c r="D45" s="42">
        <v>18</v>
      </c>
      <c r="E45" s="42">
        <v>1</v>
      </c>
      <c r="F45" s="42">
        <v>70</v>
      </c>
      <c r="G45" s="10">
        <v>11</v>
      </c>
      <c r="H45" s="11">
        <v>500.41561602713972</v>
      </c>
      <c r="I45" s="11">
        <v>296.20189036900558</v>
      </c>
    </row>
    <row r="46" spans="3:10" x14ac:dyDescent="0.2">
      <c r="C46" s="12" t="s">
        <v>83</v>
      </c>
      <c r="D46" s="42">
        <v>18</v>
      </c>
      <c r="E46" s="42">
        <v>1</v>
      </c>
      <c r="F46" s="42">
        <v>90</v>
      </c>
      <c r="G46" s="10">
        <v>12</v>
      </c>
      <c r="H46" s="11">
        <v>383.48843777243223</v>
      </c>
      <c r="I46" s="11">
        <v>224.65554003832787</v>
      </c>
    </row>
    <row r="47" spans="3:10" x14ac:dyDescent="0.2">
      <c r="C47" s="12" t="s">
        <v>83</v>
      </c>
      <c r="D47" s="42">
        <v>20</v>
      </c>
      <c r="E47" s="42">
        <v>1</v>
      </c>
      <c r="F47" s="42">
        <v>40</v>
      </c>
      <c r="G47" s="10">
        <v>13</v>
      </c>
      <c r="H47" s="11">
        <v>562.89923483077541</v>
      </c>
      <c r="I47" s="11">
        <v>338.14450437676078</v>
      </c>
    </row>
    <row r="48" spans="3:10" x14ac:dyDescent="0.2">
      <c r="C48" s="12" t="s">
        <v>83</v>
      </c>
      <c r="D48" s="42">
        <v>20</v>
      </c>
      <c r="E48" s="42">
        <v>1</v>
      </c>
      <c r="F48" s="42">
        <v>70</v>
      </c>
      <c r="G48" s="10">
        <v>14</v>
      </c>
      <c r="H48" s="11">
        <v>314.71447456109132</v>
      </c>
      <c r="I48" s="11">
        <v>186.28320001594011</v>
      </c>
    </row>
    <row r="49" spans="3:9" x14ac:dyDescent="0.2">
      <c r="C49" s="12" t="s">
        <v>83</v>
      </c>
      <c r="D49" s="42">
        <v>20</v>
      </c>
      <c r="E49" s="42">
        <v>1</v>
      </c>
      <c r="F49" s="42">
        <v>90</v>
      </c>
      <c r="G49" s="10">
        <v>15</v>
      </c>
      <c r="H49" s="11">
        <v>241.17824929599973</v>
      </c>
      <c r="I49" s="11">
        <v>141.2872579831043</v>
      </c>
    </row>
  </sheetData>
  <conditionalFormatting sqref="D35:F43 E44:F49">
    <cfRule type="expression" dxfId="5" priority="6">
      <formula>MOD(ROW(),2)</formula>
    </cfRule>
  </conditionalFormatting>
  <conditionalFormatting sqref="H35:I49">
    <cfRule type="expression" dxfId="4" priority="5">
      <formula>MOD(ROW(),2)</formula>
    </cfRule>
  </conditionalFormatting>
  <conditionalFormatting sqref="G35:G49">
    <cfRule type="expression" dxfId="3" priority="4">
      <formula>MOD(ROW(),2)</formula>
    </cfRule>
  </conditionalFormatting>
  <conditionalFormatting sqref="C35:C49">
    <cfRule type="expression" dxfId="2" priority="3">
      <formula>MOD(ROW(),2)</formula>
    </cfRule>
  </conditionalFormatting>
  <conditionalFormatting sqref="D44:D49">
    <cfRule type="expression" dxfId="1" priority="2">
      <formula>MOD(ROW(),2)</formula>
    </cfRule>
  </conditionalFormatting>
  <conditionalFormatting sqref="C20">
    <cfRule type="expression" dxfId="0" priority="1">
      <formula>MOD(ROW(),2)</formula>
    </cfRule>
  </conditionalFormatting>
  <pageMargins left="0.7" right="0.7" top="0.75" bottom="0.75" header="0.3" footer="0.3"/>
  <pageSetup scale="72" fitToHeight="0" orientation="portrait" r:id="rId1"/>
  <headerFooter>
    <oddHeader>&amp;L&amp;"Palatino Linotype"Wire Reach Table&amp;R&amp;"Palatino Linotype"BiegertStandard.xltx</oddHeader>
    <oddFooter>&amp;L&amp;"Palatino Linotype"Wire Reach Table&amp;C&amp;"Palatino Linotype"Page &amp;P of &amp;N&amp;R&amp;"Palatino Linotype"Sheet Name: Reach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d 3 9 5 9 8 7 1 - f 3 a e - 4 9 3 d - 8 6 2 0 - 2 8 b 2 a c 5 1 1 6 1 c "   s q m i d = " 8 d 7 3 3 d 6 2 - 8 0 a 7 - 4 1 f f - 9 d 2 3 - 8 d 9 e f 1 6 7 7 8 0 a "   x m l n s = " h t t p : / / s c h e m a s . m i c r o s o f t . c o m / D a t a M a s h u p " > A A A A A B o D A A B Q S w M E F A A C A A g A Q E 0 6 S E G 0 a 4 + q A A A A + g A A A B I A H A B D b 2 5 m a W c v U G F j a 2 F n Z S 5 4 b W w g o h g A K K A U A A A A A A A A A A A A A A A A A A A A A A A A A A A A h Y / B C o J A G I R f R f b u v + 5 q Y v K 7 H r o m B F J 0 l X X T J V 1 D 1 / T d O v R I v U J B G d 2 6 z Q z z w c z j d s d 0 b h v n q v p B d y Y h D D z i K C O 7 U p s q I a M 9 u R F J B e 4 K e S 4 q 5 b z K Z o j n Q S e k t v Y S U z p N E 0 w + d H 1 F u e c x e s y 2 u a x V W 7 j a D L Y w U p E v V f 6 n i M D D e 4 z g w E M I G I + A B x z p E m O m z a I Z r M D n 6 x A 8 p D 8 x b s b G j r 0 S y r j 7 H O l i k X 5 + i C d Q S w M E F A A C A A g A Q E 0 6 S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B N O k g o i k e 4 D g A A A B E A A A A T A B w A R m 9 y b X V s Y X M v U 2 V j d G l v b j E u b S C i G A A o o B Q A A A A A A A A A A A A A A A A A A A A A A A A A A A A r T k 0 u y c z P U w i G 0 I b W A F B L A Q I t A B Q A A g A I A E B N O k h B t G u P q g A A A P o A A A A S A A A A A A A A A A A A A A A A A A A A A A B D b 2 5 m a W c v U G F j a 2 F n Z S 5 4 b W x Q S w E C L Q A U A A I A C A B A T T p I D 8 r p q 6 Q A A A D p A A A A E w A A A A A A A A A A A A A A A A D 2 A A A A W 0 N v b n R l b n R f V H l w Z X N d L n h t b F B L A Q I t A B Q A A g A I A E B N O k g o i k e 4 D g A A A B E A A A A T A A A A A A A A A A A A A A A A A O c B A A B G b 3 J t d W x h c y 9 T Z W N 0 a W 9 u M S 5 t U E s F B g A A A A A D A A M A w g A A A E I C A A A A A D Q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c U 6 w C X 5 m 6 U i L m N i h B 9 6 C t w A A A A A C A A A A A A A D Z g A A w A A A A B A A A A A 0 8 A w w 4 L P O F Q D 4 j A 9 s d H F 4 A A A A A A S A A A C g A A A A E A A A A M 7 9 6 t G N X Z E c d 5 R t Q 9 K h a U p Q A A A A X n M I P 4 a l 7 8 G L L p M / Z 9 O F q f j 2 X G Z u h V 2 K s t h x y G Y K e e / P t x l N T M j B d y a D b F p k V p r a i k J u Z a I N H T Z I h O y C 6 L H U Y o 5 z L Z 5 I / n S N w i W e k + F X 8 i E U A A A A h j t R u + f q v p c u Y 6 p B g d L 2 F a x q Y n c = < / D a t a M a s h u p > 
</file>

<file path=customXml/itemProps1.xml><?xml version="1.0" encoding="utf-8"?>
<ds:datastoreItem xmlns:ds="http://schemas.openxmlformats.org/officeDocument/2006/customXml" ds:itemID="{24AC0E4B-ADF0-4811-BB91-140D9119DDA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17</vt:i4>
      </vt:variant>
    </vt:vector>
  </HeadingPairs>
  <TitlesOfParts>
    <vt:vector size="20" baseType="lpstr">
      <vt:lpstr>Summary</vt:lpstr>
      <vt:lpstr>ReachFormula</vt:lpstr>
      <vt:lpstr>ReachTable</vt:lpstr>
      <vt:lpstr>ReachTable!_A</vt:lpstr>
      <vt:lpstr>ReachFormula!_kCu</vt:lpstr>
      <vt:lpstr>ReachTable!_kCu</vt:lpstr>
      <vt:lpstr>ReachTable!_n</vt:lpstr>
      <vt:lpstr>ReachTable!_P</vt:lpstr>
      <vt:lpstr>ReachTable!_pairs</vt:lpstr>
      <vt:lpstr>ReachFormula!_rC</vt:lpstr>
      <vt:lpstr>ReachTable!_rC</vt:lpstr>
      <vt:lpstr>ReachFormula!_T</vt:lpstr>
      <vt:lpstr>ReachTable!_T</vt:lpstr>
      <vt:lpstr>ReachTable!_vL</vt:lpstr>
      <vt:lpstr>ReachFormula!_vl0</vt:lpstr>
      <vt:lpstr>ReachFormula!_vl1</vt:lpstr>
      <vt:lpstr>ReachFormula!_vS</vt:lpstr>
      <vt:lpstr>ReachTable!_vS</vt:lpstr>
      <vt:lpstr>ReachFormula!_ρCu</vt:lpstr>
      <vt:lpstr>ReachTable!_ρCu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DC Power Distribution Summary Page</dc:title>
  <dc:subject>Distribution Summary</dc:subject>
  <dc:creator/>
  <cp:lastModifiedBy/>
  <dcterms:created xsi:type="dcterms:W3CDTF">2016-01-25T21:33:19Z</dcterms:created>
  <dcterms:modified xsi:type="dcterms:W3CDTF">2016-12-13T21:44:23Z</dcterms:modified>
</cp:coreProperties>
</file>